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3CGkqp7cHmPf6z0hNKNccplEHjeOqChH5VJPQmwoKR+oCdq0nuBxXgGJEkvCWIi20GfpjJkXq/5J0d2KoTXcqg==" workbookSaltValue="riAIVl5H7kB3A8RtTRIw6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L12" i="14" s="1"/>
  <c r="C10" i="2"/>
  <c r="D10" i="2" s="1"/>
  <c r="C11" i="2"/>
  <c r="D11" i="2" s="1"/>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AY18" i="8" s="1"/>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AL10" i="11"/>
  <c r="N10" i="11"/>
  <c r="N9" i="11"/>
  <c r="T10" i="21"/>
  <c r="F10" i="10"/>
  <c r="N11" i="11"/>
  <c r="ES19" i="8"/>
  <c r="C18" i="7"/>
  <c r="S19" i="13"/>
  <c r="AG19" i="19"/>
  <c r="CI19" i="8"/>
  <c r="AE19" i="8"/>
  <c r="F17" i="16"/>
  <c r="BL17" i="16" s="1"/>
  <c r="EP19" i="8"/>
  <c r="ER19" i="13"/>
  <c r="AL13" i="16"/>
  <c r="S13" i="16"/>
  <c r="H18" i="16"/>
  <c r="P13" i="16"/>
  <c r="AN13" i="20"/>
  <c r="F15" i="17"/>
  <c r="F17" i="17"/>
  <c r="AQ17" i="17" s="1"/>
  <c r="B12" i="6"/>
  <c r="AC10" i="11"/>
  <c r="H13" i="12"/>
  <c r="T19" i="8"/>
  <c r="AJ19" i="8"/>
  <c r="T13" i="12"/>
  <c r="S19"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F16" i="17" l="1"/>
  <c r="AO16" i="11"/>
  <c r="BF16" i="8"/>
  <c r="AW18" i="21"/>
  <c r="AB19" i="8"/>
  <c r="Z19" i="8"/>
  <c r="BD12" i="8"/>
  <c r="H12" i="7" s="1"/>
  <c r="F9" i="2"/>
  <c r="H12" i="2"/>
  <c r="I11" i="12"/>
  <c r="BE12" i="13"/>
  <c r="E11" i="6"/>
  <c r="AO9" i="11"/>
  <c r="AL11" i="11"/>
  <c r="D11" i="12"/>
  <c r="BF11" i="8"/>
  <c r="BF9" i="8"/>
  <c r="BG9" i="8"/>
  <c r="K9" i="7" s="1"/>
  <c r="BE9" i="8"/>
  <c r="BD11" i="8"/>
  <c r="BE11" i="8"/>
  <c r="BG12" i="8"/>
  <c r="K12" i="7" s="1"/>
  <c r="BE12" i="8"/>
  <c r="BD15" i="8"/>
  <c r="H15" i="7" s="1"/>
  <c r="BE15" i="8"/>
  <c r="BG16" i="8"/>
  <c r="K16" i="7" s="1"/>
  <c r="C10" i="6"/>
  <c r="I10" i="12" s="1"/>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U17" i="11"/>
  <c r="O10" i="11"/>
  <c r="BR20" i="16"/>
  <c r="AU20" i="17"/>
  <c r="BP20" i="16"/>
  <c r="AX20" i="21"/>
  <c r="K16" i="12" l="1"/>
  <c r="Y13" i="11"/>
  <c r="F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<sst xmlns="http://schemas.openxmlformats.org/spreadsheetml/2006/main" count="2122" uniqueCount="918">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</sst>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nkuUQ2QNUbb0AFkL6TKtAoo7Myv9Q+8yv3gP91pd71pqCpMSH7O5Zki4FIGAeEeS1SzfklIN8FickG4a4FClA==" saltValue="wlhtoCVxvO53DphAIdiM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0</v>
      </c>
      <c r="B10" s="501" t="str">
        <f>Datos!A10</f>
        <v>Jdos. Violencia contra la mujer/Secc Viol. TI.</v>
      </c>
      <c r="C10" s="224" t="str">
        <f t="shared" si="0"/>
        <v xml:space="preserve"> - </v>
      </c>
      <c r="D10" s="224" t="str">
        <f>IF(ISNUMBER(Datos!I10),Datos!I10," - ")</f>
        <v xml:space="preserve"> - </v>
      </c>
      <c r="E10" s="225" t="str">
        <f>IF(ISNUMBER(Datos!J10),Datos!J10," - ")</f>
        <v xml:space="preserve"> - </v>
      </c>
      <c r="F10" s="225" t="str">
        <f>IF(ISNUMBER(Datos!K10),Datos!K10," - ")</f>
        <v xml:space="preserve"> - </v>
      </c>
      <c r="G10" s="1033" t="str">
        <f>IF(Datos!E10&lt;&gt;"",Datos!E10,Datos!D10)</f>
        <v>37</v>
      </c>
      <c r="H10" s="226" t="str">
        <f>IF(ISNUMBER(Datos!L10),Datos!L10," - ")</f>
        <v xml:space="preserve"> - </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28.48264182895851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1712</v>
      </c>
      <c r="D16" s="224">
        <f>IF(ISNUMBER(IF(D_I="SI",Datos!I16,Datos!I16+Datos!AC16)),IF(D_I="SI",Datos!I16,Datos!I16+Datos!AC16)," - ")</f>
        <v>1700</v>
      </c>
      <c r="E16" s="225">
        <f>IF(ISNUMBER(IF(D_I="SI",Datos!J16,Datos!J16+Datos!AD16)),IF(D_I="SI",Datos!J16,Datos!J16+Datos!AD16)," - ")</f>
        <v>710</v>
      </c>
      <c r="F16" s="225">
        <f>IF(ISNUMBER(IF(D_I="SI",Datos!K16,Datos!K16+Datos!AE16)),IF(D_I="SI",Datos!K16,Datos!K16+Datos!AE16)," - ")</f>
        <v>613</v>
      </c>
      <c r="G16" s="1033" t="str">
        <f>IF(Datos!E16&lt;&gt;"",Datos!E16,Datos!D16)</f>
        <v>04</v>
      </c>
      <c r="H16" s="226">
        <f>IF(ISNUMBER(IF(D_I="SI",Datos!L16,Datos!L16+Datos!AF16)),IF(D_I="SI",Datos!L16,Datos!L16+Datos!AF16)," - ")</f>
        <v>1809</v>
      </c>
      <c r="I16" s="1043" t="str">
        <f>IF(ISNUMBER(Datos!AS16/Datos!BM16),Datos!AS16/Datos!BM16," - ")</f>
        <v xml:space="preserve"> - </v>
      </c>
      <c r="J16" s="1044">
        <f>IF(ISNUMBER(Datos!BY16/Datos!CN16),Datos!BY16/Datos!CN16," - ")</f>
        <v>0</v>
      </c>
      <c r="K16" s="229">
        <f t="shared" si="3"/>
        <v>5.6658878504672897E-2</v>
      </c>
      <c r="L16" s="1024">
        <f>IF(ISNUMBER(NºAsuntos!I16/NºAsuntos!G16),(NºAsuntos!I16/NºAsuntos!G16)*11," - ")</f>
        <v>32.461663947797717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0</v>
      </c>
      <c r="B17" s="501" t="str">
        <f>Datos!A17</f>
        <v>Jdos. Violencia contra la mujer/Secc Viol. TI.</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33" t="str">
        <f>IF(Datos!E17&lt;&gt;"",Datos!E17,Datos!D17)</f>
        <v>37</v>
      </c>
      <c r="H17" s="226" t="str">
        <f>IF(ISNUMBER(IF(D_I="SI",Datos!L17,Datos!L17+Datos!AF17)),IF(D_I="SI",Datos!L17,Datos!L17+Datos!AF17)," - ")</f>
        <v xml:space="preserve"> - </v>
      </c>
      <c r="I17" s="1043" t="str">
        <f>IF(ISNUMBER(Datos!AS17/Datos!BM17),Datos!AS17/Datos!BM17," - ")</f>
        <v xml:space="preserve"> - </v>
      </c>
      <c r="J17" s="1044" t="str">
        <f>IF(ISNUMBER((Datos!BY17+Datos!BZ17)/Datos!CN17),(Datos!BY17+Datos!BZ17)/Datos!CN17," - ")</f>
        <v xml:space="preserve"> - </v>
      </c>
      <c r="K17" s="229" t="str">
        <f t="shared" si="3"/>
        <v xml:space="preserve"> - </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1712</v>
      </c>
      <c r="D18" s="1048">
        <f>SUBTOTAL(9,D15:D17)</f>
        <v>1700</v>
      </c>
      <c r="E18" s="1049">
        <f>SUBTOTAL(9,E15:E17)</f>
        <v>710</v>
      </c>
      <c r="F18" s="1049">
        <f>SUBTOTAL(9,F15:F17)</f>
        <v>613</v>
      </c>
      <c r="G18" s="1051" t="str">
        <f ca="1">INDIRECT(CONCATENATE("G",ROW()-1))</f>
        <v>37</v>
      </c>
      <c r="H18" s="1052">
        <f ca="1">SUMIF(G$14:G17,G18,H$14:H17)</f>
        <v>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1712</v>
      </c>
      <c r="D19" s="1070">
        <f>SUBTOTAL(9,D9:D18)</f>
        <v>1700</v>
      </c>
      <c r="E19" s="1071">
        <f>SUBTOTAL(9,E9:E18)</f>
        <v>710</v>
      </c>
      <c r="F19" s="1071">
        <f>SUBTOTAL(9,F9:F18)</f>
        <v>613</v>
      </c>
      <c r="G19" s="1072"/>
      <c r="H19" s="1073">
        <f ca="1">SUMIF(B9:B18,"TOTAL",H9:H18)</f>
        <v>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EaOoISdLgjgDyXLllNAfvyKtQ2sHR/7LrtD7CuL2XgrSWmk+qFmvtGCAVY8OrejZwoNa6kIYr97SBjCpfPnwg==" saltValue="3lIR6yJHI2nA1+4pnCdM8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6KhXQPAr61ZIgXlkvPTyydxMeHSGpy+f53N+Glf+5bsJYCxJPB4eqshEabw7Pcwa+dgkNjwwwx9mAApH8GrLw==" saltValue="wQOs3lRFBQQEuFSLLsKt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t="s">
        <v>905</v>
      </c>
      <c r="J10" s="180" t="s">
        <v>898</v>
      </c>
      <c r="K10" s="180" t="s">
        <v>901</v>
      </c>
      <c r="L10" s="180" t="s">
        <v>906</v>
      </c>
      <c r="M10" s="180" t="s">
        <v>513</v>
      </c>
      <c r="N10" s="180" t="s">
        <v>139</v>
      </c>
      <c r="O10" s="180" t="s">
        <v>227</v>
      </c>
      <c r="P10" s="180" t="s">
        <v>140</v>
      </c>
      <c r="Q10" s="180" t="s">
        <v>141</v>
      </c>
      <c r="R10" s="180" t="s">
        <v>142</v>
      </c>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v>0</v>
      </c>
      <c r="AP10" s="154">
        <v>0</v>
      </c>
      <c r="AQ10" s="153">
        <v>0</v>
      </c>
      <c r="AR10" s="154">
        <v>0</v>
      </c>
      <c r="AS10" s="338" t="s">
        <v>785</v>
      </c>
      <c r="AT10" s="191"/>
      <c r="AU10" s="199"/>
      <c r="AV10" s="191"/>
      <c r="AW10" s="199"/>
      <c r="AX10" s="191"/>
      <c r="AY10" s="128" t="str">
        <f t="shared" ref="AY10:BC10" si="0">IF(ISNUMBER(S10),S10," - ")</f>
        <v xml:space="preserve"> - </v>
      </c>
      <c r="AZ10" s="129" t="str">
        <f t="shared" si="0"/>
        <v xml:space="preserve"> - </v>
      </c>
      <c r="BA10" s="129" t="str">
        <f t="shared" si="0"/>
        <v xml:space="preserve"> - </v>
      </c>
      <c r="BB10" s="129" t="str">
        <f t="shared" si="0"/>
        <v xml:space="preserve"> - </v>
      </c>
      <c r="BC10" s="125" t="str">
        <f t="shared" si="0"/>
        <v xml:space="preserve"> - </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0</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3239</v>
      </c>
      <c r="J12" s="182">
        <v>792</v>
      </c>
      <c r="K12" s="182">
        <v>1118</v>
      </c>
      <c r="L12" s="182">
        <v>2913</v>
      </c>
      <c r="M12" s="182">
        <v>285</v>
      </c>
      <c r="N12" s="182">
        <v>577</v>
      </c>
      <c r="O12" s="180">
        <v>481</v>
      </c>
      <c r="P12" s="182">
        <v>295</v>
      </c>
      <c r="Q12" s="182">
        <v>302</v>
      </c>
      <c r="R12" s="182">
        <v>4734</v>
      </c>
      <c r="S12" s="182">
        <v>2653</v>
      </c>
      <c r="T12" s="182">
        <v>1010</v>
      </c>
      <c r="U12" s="182">
        <v>939</v>
      </c>
      <c r="V12" s="182">
        <v>2726</v>
      </c>
      <c r="W12" s="182">
        <v>218</v>
      </c>
      <c r="X12" s="188">
        <v>553</v>
      </c>
      <c r="Y12" s="190">
        <v>129</v>
      </c>
      <c r="Z12" s="180">
        <v>79</v>
      </c>
      <c r="AA12" s="180">
        <v>63</v>
      </c>
      <c r="AB12" s="180">
        <v>145</v>
      </c>
      <c r="AC12" s="182">
        <v>0</v>
      </c>
      <c r="AD12" s="182">
        <v>0</v>
      </c>
      <c r="AE12" s="182">
        <v>0</v>
      </c>
      <c r="AF12" s="188">
        <v>0</v>
      </c>
      <c r="AG12" s="201">
        <v>111</v>
      </c>
      <c r="AH12" s="182">
        <v>60</v>
      </c>
      <c r="AI12" s="182">
        <v>49</v>
      </c>
      <c r="AJ12" s="202">
        <v>122</v>
      </c>
      <c r="AK12" s="181">
        <v>0</v>
      </c>
      <c r="AL12" s="182">
        <v>0</v>
      </c>
      <c r="AM12" s="182">
        <v>0</v>
      </c>
      <c r="AN12" s="188">
        <v>0</v>
      </c>
      <c r="AO12" s="258">
        <v>4</v>
      </c>
      <c r="AP12" s="154">
        <v>4</v>
      </c>
      <c r="AQ12" s="154">
        <v>4</v>
      </c>
      <c r="AR12" s="153">
        <v>4</v>
      </c>
      <c r="AS12" s="339" t="s">
        <v>794</v>
      </c>
      <c r="AT12" s="202"/>
      <c r="AU12" s="201"/>
      <c r="AV12" s="202"/>
      <c r="AW12" s="201"/>
      <c r="AX12" s="202"/>
      <c r="AY12" s="126">
        <f t="shared" si="1"/>
        <v>2764</v>
      </c>
      <c r="AZ12" s="127">
        <f t="shared" si="1"/>
        <v>1070</v>
      </c>
      <c r="BA12" s="127">
        <f t="shared" si="1"/>
        <v>988</v>
      </c>
      <c r="BB12" s="127">
        <f t="shared" si="1"/>
        <v>2848</v>
      </c>
      <c r="BC12" s="125">
        <f>IF(ISNUMBER(X12),X12," - ")</f>
        <v>553</v>
      </c>
      <c r="BD12" s="126">
        <f t="shared" si="2"/>
        <v>0.92336448598130838</v>
      </c>
      <c r="BE12" s="127">
        <f t="shared" si="3"/>
        <v>2.882591093117409</v>
      </c>
      <c r="BF12" s="127">
        <f t="shared" si="4"/>
        <v>0.55971659919028338</v>
      </c>
      <c r="BG12" s="195">
        <f t="shared" si="5"/>
        <v>3.880566801619433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3239</v>
      </c>
      <c r="J13" s="183">
        <f t="shared" si="6"/>
        <v>792</v>
      </c>
      <c r="K13" s="183">
        <f t="shared" si="6"/>
        <v>1118</v>
      </c>
      <c r="L13" s="183">
        <f t="shared" si="6"/>
        <v>2913</v>
      </c>
      <c r="M13" s="183">
        <f t="shared" si="6"/>
        <v>285</v>
      </c>
      <c r="N13" s="183">
        <f t="shared" si="6"/>
        <v>577</v>
      </c>
      <c r="O13" s="183">
        <f t="shared" si="6"/>
        <v>481</v>
      </c>
      <c r="P13" s="183">
        <f t="shared" si="6"/>
        <v>295</v>
      </c>
      <c r="Q13" s="183">
        <f t="shared" si="6"/>
        <v>302</v>
      </c>
      <c r="R13" s="183">
        <f t="shared" si="6"/>
        <v>4734</v>
      </c>
      <c r="S13" s="183">
        <f t="shared" si="6"/>
        <v>2653</v>
      </c>
      <c r="T13" s="183">
        <f t="shared" si="6"/>
        <v>1010</v>
      </c>
      <c r="U13" s="183">
        <f t="shared" si="6"/>
        <v>939</v>
      </c>
      <c r="V13" s="183">
        <f t="shared" si="6"/>
        <v>2726</v>
      </c>
      <c r="W13" s="183">
        <f t="shared" si="6"/>
        <v>218</v>
      </c>
      <c r="X13" s="183">
        <f t="shared" si="6"/>
        <v>553</v>
      </c>
      <c r="Y13" s="183">
        <f t="shared" si="6"/>
        <v>129</v>
      </c>
      <c r="Z13" s="183">
        <f t="shared" si="6"/>
        <v>79</v>
      </c>
      <c r="AA13" s="183">
        <f t="shared" si="6"/>
        <v>63</v>
      </c>
      <c r="AB13" s="183">
        <f t="shared" si="6"/>
        <v>145</v>
      </c>
      <c r="AC13" s="183">
        <f t="shared" si="6"/>
        <v>0</v>
      </c>
      <c r="AD13" s="183">
        <f t="shared" si="6"/>
        <v>0</v>
      </c>
      <c r="AE13" s="183">
        <f t="shared" si="6"/>
        <v>0</v>
      </c>
      <c r="AF13" s="183">
        <f>SUBTOTAL(9,AF9:AF12)</f>
        <v>0</v>
      </c>
      <c r="AG13" s="183">
        <f t="shared" ref="AG13:AT13" si="7">SUBTOTAL(9,AG8:AG12)</f>
        <v>111</v>
      </c>
      <c r="AH13" s="183">
        <f t="shared" si="7"/>
        <v>60</v>
      </c>
      <c r="AI13" s="183">
        <f t="shared" si="7"/>
        <v>49</v>
      </c>
      <c r="AJ13" s="183">
        <f t="shared" si="7"/>
        <v>122</v>
      </c>
      <c r="AK13" s="183">
        <f t="shared" si="7"/>
        <v>0</v>
      </c>
      <c r="AL13" s="183">
        <f t="shared" si="7"/>
        <v>0</v>
      </c>
      <c r="AM13" s="183">
        <f t="shared" si="7"/>
        <v>0</v>
      </c>
      <c r="AN13" s="183">
        <f t="shared" si="7"/>
        <v>0</v>
      </c>
      <c r="AO13" s="183">
        <f t="shared" si="7"/>
        <v>4</v>
      </c>
      <c r="AP13" s="183">
        <f t="shared" si="7"/>
        <v>4</v>
      </c>
      <c r="AQ13" s="183">
        <f t="shared" si="7"/>
        <v>4</v>
      </c>
      <c r="AR13" s="183">
        <f t="shared" si="7"/>
        <v>4</v>
      </c>
      <c r="AS13" s="183">
        <f t="shared" si="7"/>
        <v>0</v>
      </c>
      <c r="AT13" s="183">
        <f t="shared" si="7"/>
        <v>0</v>
      </c>
      <c r="AU13" s="203"/>
      <c r="AV13" s="132"/>
      <c r="AW13" s="203"/>
      <c r="AX13" s="132"/>
      <c r="AY13" s="183">
        <f>SUBTOTAL(9,AY8:AY12)</f>
        <v>2764</v>
      </c>
      <c r="AZ13" s="183">
        <f>SUBTOTAL(9,AZ8:AZ12)</f>
        <v>1070</v>
      </c>
      <c r="BA13" s="183">
        <f>SUBTOTAL(9,BA8:BA12)</f>
        <v>988</v>
      </c>
      <c r="BB13" s="183">
        <f>SUBTOTAL(9,BB8:BB12)</f>
        <v>2848</v>
      </c>
      <c r="BC13" s="183">
        <f>SUBTOTAL(9,BC8:BC12)</f>
        <v>553</v>
      </c>
      <c r="BD13" s="204">
        <f>IF(ISNUMBER(BA13/AZ13),BA13/AZ13," - ")</f>
        <v>0.92336448598130838</v>
      </c>
      <c r="BE13" s="205">
        <f>IF(ISNUMBER(BB13/BA13),BB13/BA13, " - ")</f>
        <v>2.882591093117409</v>
      </c>
      <c r="BF13" s="205">
        <f>IF(ISNUMBER(BC13/BA13),BC13/BA13, " - ")</f>
        <v>0.55971659919028338</v>
      </c>
      <c r="BG13" s="206">
        <f>IF(ISNUMBER((AY13+AZ13)/BA13),(AY13+AZ13)/BA13," - ")</f>
        <v>3.880566801619433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1700</v>
      </c>
      <c r="J16" s="182">
        <v>710</v>
      </c>
      <c r="K16" s="182">
        <v>613</v>
      </c>
      <c r="L16" s="182">
        <v>1809</v>
      </c>
      <c r="M16" s="182">
        <v>166</v>
      </c>
      <c r="N16" s="182">
        <v>312</v>
      </c>
      <c r="O16" s="180">
        <v>5</v>
      </c>
      <c r="P16" s="182">
        <v>22</v>
      </c>
      <c r="Q16" s="182">
        <v>10</v>
      </c>
      <c r="R16" s="182">
        <v>310</v>
      </c>
      <c r="S16" s="182">
        <v>1206</v>
      </c>
      <c r="T16" s="182">
        <v>743</v>
      </c>
      <c r="U16" s="182">
        <v>690</v>
      </c>
      <c r="V16" s="182">
        <v>1259</v>
      </c>
      <c r="W16" s="182">
        <v>141</v>
      </c>
      <c r="X16" s="188">
        <v>384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1206</v>
      </c>
      <c r="AZ16" s="127">
        <f t="shared" si="9"/>
        <v>743</v>
      </c>
      <c r="BA16" s="127">
        <f t="shared" si="9"/>
        <v>690</v>
      </c>
      <c r="BB16" s="127">
        <f t="shared" si="9"/>
        <v>1259</v>
      </c>
      <c r="BC16" s="125">
        <f>IF(ISNUMBER(W16),W16," - ")</f>
        <v>141</v>
      </c>
      <c r="BD16" s="126">
        <f t="shared" ref="BD16" si="11">IF(ISNUMBER(BA16/AZ16),BA16/AZ16," - ")</f>
        <v>0.92866756393001348</v>
      </c>
      <c r="BE16" s="127">
        <f t="shared" ref="BE16" si="12">IF(ISNUMBER(BB16/BA16),BB16/BA16, " - ")</f>
        <v>1.8246376811594203</v>
      </c>
      <c r="BF16" s="127">
        <f t="shared" ref="BF16" si="13">IF(ISNUMBER(BC16/BA16),BC16/BA16, " - ")</f>
        <v>0.20434782608695654</v>
      </c>
      <c r="BG16" s="195">
        <f t="shared" si="10"/>
        <v>2.8246376811594205</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t="s">
        <v>144</v>
      </c>
      <c r="J17" s="182" t="s">
        <v>766</v>
      </c>
      <c r="K17" s="182" t="s">
        <v>146</v>
      </c>
      <c r="L17" s="182" t="s">
        <v>779</v>
      </c>
      <c r="M17" s="182" t="s">
        <v>514</v>
      </c>
      <c r="N17" s="182" t="s">
        <v>151</v>
      </c>
      <c r="O17" s="182" t="s">
        <v>226</v>
      </c>
      <c r="P17" s="182" t="s">
        <v>467</v>
      </c>
      <c r="Q17" s="182" t="s">
        <v>468</v>
      </c>
      <c r="R17" s="182" t="s">
        <v>469</v>
      </c>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v>0</v>
      </c>
      <c r="AP17" s="154">
        <v>0</v>
      </c>
      <c r="AQ17" s="153">
        <v>0</v>
      </c>
      <c r="AR17" s="154">
        <v>0</v>
      </c>
      <c r="AS17" s="338" t="s">
        <v>784</v>
      </c>
      <c r="AT17" s="208"/>
      <c r="AU17" s="199"/>
      <c r="AV17" s="208"/>
      <c r="AW17" s="199"/>
      <c r="AX17" s="208"/>
      <c r="AY17" s="128" t="str">
        <f t="shared" ref="AY17:BB17" si="14">IF(ISNUMBER(S17),S17," - ")</f>
        <v xml:space="preserve"> - </v>
      </c>
      <c r="AZ17" s="129" t="str">
        <f t="shared" si="14"/>
        <v xml:space="preserve"> - </v>
      </c>
      <c r="BA17" s="129" t="str">
        <f t="shared" si="14"/>
        <v xml:space="preserve"> - </v>
      </c>
      <c r="BB17" s="129" t="str">
        <f t="shared" si="14"/>
        <v xml:space="preserve"> - </v>
      </c>
      <c r="BC17" s="125" t="str">
        <f>IF(ISNUMBER(W17),W17," - ")</f>
        <v xml:space="preserve"> - </v>
      </c>
      <c r="BD17" s="126" t="str">
        <f>IF(ISNUMBER(BA17/AZ17),BA17/AZ17," - ")</f>
        <v xml:space="preserve"> - </v>
      </c>
      <c r="BE17" s="127" t="str">
        <f>IF(ISNUMBER(BB17/BA17),BB17/BA17, " - ")</f>
        <v xml:space="preserve"> - </v>
      </c>
      <c r="BF17" s="127" t="str">
        <f>IF(ISNUMBER(BC17/BA17),BC17/BA17, " - ")</f>
        <v xml:space="preserve"> - </v>
      </c>
      <c r="BG17" s="195" t="str">
        <f>IF(ISNUMBER((AY17+AZ17)/BA17),(AY17+AZ17)/BA17," - ")</f>
        <v xml:space="preserve"> - </v>
      </c>
      <c r="BH17" s="154">
        <v>0</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1700</v>
      </c>
      <c r="J18" s="183">
        <f t="shared" si="15"/>
        <v>710</v>
      </c>
      <c r="K18" s="183">
        <f t="shared" si="15"/>
        <v>613</v>
      </c>
      <c r="L18" s="183">
        <f t="shared" si="15"/>
        <v>1809</v>
      </c>
      <c r="M18" s="183">
        <f t="shared" si="15"/>
        <v>166</v>
      </c>
      <c r="N18" s="183">
        <f t="shared" si="15"/>
        <v>312</v>
      </c>
      <c r="O18" s="183">
        <f t="shared" si="15"/>
        <v>5</v>
      </c>
      <c r="P18" s="183">
        <f t="shared" si="15"/>
        <v>22</v>
      </c>
      <c r="Q18" s="183">
        <f t="shared" si="15"/>
        <v>10</v>
      </c>
      <c r="R18" s="183">
        <f t="shared" si="15"/>
        <v>310</v>
      </c>
      <c r="S18" s="183">
        <f t="shared" si="15"/>
        <v>1206</v>
      </c>
      <c r="T18" s="183">
        <f t="shared" si="15"/>
        <v>743</v>
      </c>
      <c r="U18" s="183">
        <f t="shared" si="15"/>
        <v>690</v>
      </c>
      <c r="V18" s="183">
        <f t="shared" si="15"/>
        <v>1259</v>
      </c>
      <c r="W18" s="183">
        <f t="shared" si="15"/>
        <v>141</v>
      </c>
      <c r="X18" s="183">
        <f t="shared" si="15"/>
        <v>384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1206</v>
      </c>
      <c r="AZ18" s="183">
        <f>SUBTOTAL(9,AZ14:AZ17)</f>
        <v>743</v>
      </c>
      <c r="BA18" s="183">
        <f>SUBTOTAL(9,BA14:BA17)</f>
        <v>690</v>
      </c>
      <c r="BB18" s="183">
        <f>SUBTOTAL(9,BB14:BB17)</f>
        <v>1259</v>
      </c>
      <c r="BC18" s="183">
        <f>SUBTOTAL(9,BC14:BC17)</f>
        <v>141</v>
      </c>
      <c r="BD18" s="204">
        <f>IF(ISNUMBER(BA18/AZ18),BA18/AZ18," - ")</f>
        <v>0.92866756393001348</v>
      </c>
      <c r="BE18" s="205">
        <f>IF(ISNUMBER(BB18/BA18),BB18/BA18, " - ")</f>
        <v>1.8246376811594203</v>
      </c>
      <c r="BF18" s="205">
        <f>IF(ISNUMBER(BC18/BA18),BC18/BA18, " - ")</f>
        <v>0.20434782608695654</v>
      </c>
      <c r="BG18" s="206">
        <f>IF(ISNUMBER((AY18+AZ18)/BA18),(AY18+AZ18)/BA18," - ")</f>
        <v>2.8246376811594205</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4939</v>
      </c>
      <c r="J19" s="134">
        <f t="shared" si="18"/>
        <v>1502</v>
      </c>
      <c r="K19" s="134">
        <f t="shared" si="18"/>
        <v>1731</v>
      </c>
      <c r="L19" s="134">
        <f t="shared" si="18"/>
        <v>4722</v>
      </c>
      <c r="M19" s="134">
        <f t="shared" si="18"/>
        <v>451</v>
      </c>
      <c r="N19" s="134">
        <f t="shared" si="18"/>
        <v>889</v>
      </c>
      <c r="O19" s="134">
        <f t="shared" si="18"/>
        <v>486</v>
      </c>
      <c r="P19" s="134">
        <f t="shared" si="18"/>
        <v>317</v>
      </c>
      <c r="Q19" s="134">
        <f t="shared" si="18"/>
        <v>312</v>
      </c>
      <c r="R19" s="134">
        <f t="shared" si="18"/>
        <v>5044</v>
      </c>
      <c r="S19" s="134">
        <f t="shared" si="18"/>
        <v>3859</v>
      </c>
      <c r="T19" s="134">
        <f t="shared" si="18"/>
        <v>1753</v>
      </c>
      <c r="U19" s="134">
        <f t="shared" si="18"/>
        <v>1629</v>
      </c>
      <c r="V19" s="134">
        <f t="shared" si="18"/>
        <v>3985</v>
      </c>
      <c r="W19" s="134">
        <f t="shared" si="18"/>
        <v>359</v>
      </c>
      <c r="X19" s="134">
        <f t="shared" si="18"/>
        <v>937</v>
      </c>
      <c r="Y19" s="134">
        <f t="shared" si="18"/>
        <v>129</v>
      </c>
      <c r="Z19" s="134">
        <f t="shared" si="18"/>
        <v>79</v>
      </c>
      <c r="AA19" s="134">
        <f t="shared" si="18"/>
        <v>63</v>
      </c>
      <c r="AB19" s="134">
        <f t="shared" si="18"/>
        <v>145</v>
      </c>
      <c r="AC19" s="134">
        <f t="shared" si="18"/>
        <v>0</v>
      </c>
      <c r="AD19" s="134">
        <f t="shared" si="18"/>
        <v>0</v>
      </c>
      <c r="AE19" s="134">
        <f t="shared" si="18"/>
        <v>0</v>
      </c>
      <c r="AF19" s="134">
        <f t="shared" si="18"/>
        <v>0</v>
      </c>
      <c r="AG19" s="134">
        <f t="shared" si="18"/>
        <v>111</v>
      </c>
      <c r="AH19" s="134">
        <f t="shared" si="18"/>
        <v>60</v>
      </c>
      <c r="AI19" s="134">
        <f t="shared" si="18"/>
        <v>49</v>
      </c>
      <c r="AJ19" s="134">
        <f t="shared" si="18"/>
        <v>122</v>
      </c>
      <c r="AK19" s="134">
        <f t="shared" si="18"/>
        <v>0</v>
      </c>
      <c r="AL19" s="134">
        <f t="shared" si="18"/>
        <v>0</v>
      </c>
      <c r="AM19" s="134">
        <f t="shared" si="18"/>
        <v>0</v>
      </c>
      <c r="AN19" s="209">
        <f t="shared" si="18"/>
        <v>0</v>
      </c>
      <c r="AO19" s="210">
        <v>4</v>
      </c>
      <c r="AP19" s="210">
        <v>4</v>
      </c>
      <c r="AQ19" s="210">
        <v>4</v>
      </c>
      <c r="AR19" s="210">
        <v>4</v>
      </c>
      <c r="AS19" s="152">
        <f t="shared" si="18"/>
        <v>0</v>
      </c>
      <c r="AT19" s="152">
        <f t="shared" si="18"/>
        <v>0</v>
      </c>
      <c r="AU19" s="210"/>
      <c r="AV19" s="211"/>
      <c r="AW19" s="210"/>
      <c r="AX19" s="211"/>
      <c r="AY19" s="133">
        <f>SUBTOTAL(9,AY9:AY18)</f>
        <v>3970</v>
      </c>
      <c r="AZ19" s="134">
        <f>SUBTOTAL(9,AZ9:AZ18)</f>
        <v>1813</v>
      </c>
      <c r="BA19" s="134">
        <f>SUBTOTAL(9,BA9:BA18)</f>
        <v>1678</v>
      </c>
      <c r="BB19" s="134">
        <f>SUBTOTAL(9,BB9:BB18)</f>
        <v>4107</v>
      </c>
      <c r="BC19" s="135">
        <f>SUBTOTAL(9,BC9:BC18)</f>
        <v>694</v>
      </c>
      <c r="BD19" s="212">
        <f>IF(ISNUMBER(BA19/AZ19),BA19/AZ19," - ")</f>
        <v>0.9255377826806398</v>
      </c>
      <c r="BE19" s="209">
        <f>IF(ISNUMBER(BB19/BA19),BB19/BA19, " - ")</f>
        <v>2.4475566150178785</v>
      </c>
      <c r="BF19" s="209">
        <f>IF(ISNUMBER(BC19/BA19),BC19/BA19, " - ")</f>
        <v>0.41358760429082242</v>
      </c>
      <c r="BG19" s="135">
        <f>IF(ISNUMBER((AY19+AZ19)/BA19),(AY19+AZ19)/BA19," - ")</f>
        <v>3.4463647199046483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q9OH2CbKAh+h1BYLDrdocIoZRu3EN8o0xiRmKpp7ioQ72Ewr2ysd5MzGBW6IqdCrS0ld/S16XfLcwEkQiAEEg==" saltValue="78h4sRXdJesb4oAobo2Em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fHfWPmpEg0gcbNmxjbvYbvmmT5512efDKGQdi7iaKoHwMADa2A6NCXUBz90+5ooEOF5QHxxknb6D72E1gpzg==" saltValue="qWdcYWpcACea4DQNhT4d+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CARLET</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0</v>
      </c>
      <c r="B10" s="506" t="s">
        <v>246</v>
      </c>
      <c r="C10" s="7" t="str">
        <f>Datos!A10</f>
        <v>Jdos. Violencia contra la mujer/Secc Viol. TI.</v>
      </c>
      <c r="D10" s="507"/>
      <c r="E10" s="259">
        <f>IF(ISNUMBER(Datos!AQ10),Datos!AQ10," - ")</f>
        <v>0</v>
      </c>
      <c r="F10" s="224" t="str">
        <f>IF(ISNUMBER(Datos!L10+Datos!K10-Datos!J10),Datos!L10+Datos!K10-Datos!J10," - ")</f>
        <v xml:space="preserve"> - </v>
      </c>
      <c r="G10" s="332" t="str">
        <f>IF(ISNUMBER(Datos!I10),Datos!I10," - ")</f>
        <v xml:space="preserve"> - </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t="str">
        <f>IF(ISNUMBER(Datos!K10),Datos!K10," - ")</f>
        <v xml:space="preserve"> - </v>
      </c>
      <c r="AC10" s="225" t="str">
        <f>IF(ISNUMBER(Datos!Q10),Datos!Q10," - ")</f>
        <v xml:space="preserve"> - </v>
      </c>
      <c r="AD10" s="333"/>
      <c r="AE10" s="483"/>
      <c r="AF10" s="331" t="str">
        <f>IF(ISNUMBER(Datos!L10),Datos!L10,"-")</f>
        <v>-</v>
      </c>
      <c r="AG10" s="333"/>
      <c r="AH10" s="333"/>
      <c r="AI10" s="333"/>
      <c r="AJ10" s="333"/>
      <c r="AK10" s="333"/>
      <c r="AL10" s="478"/>
      <c r="AM10" s="334" t="str">
        <f>IF(ISNUMBER(Datos!R10),Datos!R10," - ")</f>
        <v xml:space="preserve"> - </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t="str">
        <f>IF(ISNUMBER(Datos!M10),Datos!M10," - ")</f>
        <v xml:space="preserve"> - </v>
      </c>
      <c r="BD10" s="228" t="str">
        <f>IF(ISNUMBER(Datos!N10),Datos!N10," - ")</f>
        <v xml:space="preserve"> - </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79</v>
      </c>
      <c r="O12" s="333"/>
      <c r="P12" s="333"/>
      <c r="Q12" s="225">
        <f>IF(ISNUMBER(Datos!P12),Datos!P12,0)</f>
        <v>295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302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145</v>
      </c>
      <c r="AI12" s="333" t="str">
        <f>IF(ISNUMBER(Datos!CD12),Datos!CD12,"-")</f>
        <v>-</v>
      </c>
      <c r="AJ12" s="333" t="str">
        <f>IF(ISNUMBER(Datos!EN12),Datos!EN12," - ")</f>
        <v xml:space="preserve"> - </v>
      </c>
      <c r="AK12" s="333"/>
      <c r="AL12" s="478"/>
      <c r="AM12" s="334">
        <f>IF(ISNUMBER(Datos!R12),Datos!R12," - ")</f>
        <v>4734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285</v>
      </c>
      <c r="BD12" s="228">
        <f>IF(ISNUMBER(Datos!N12),Datos!N12," - ")</f>
        <v>577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1.3559127439724454</v>
      </c>
      <c r="BH12" s="259">
        <f>IF(ISNUMBER(((IF(J_V="SI",Datos!L12/Datos!K12,(Datos!L12+Datos!AB12)/(Datos!K12+Datos!AA12)))*11)/factor_trimestre),((IF(J_V="SI",Datos!L12/Datos!K12,(Datos!L12+Datos!AB12)/(Datos!K12+Datos!AA12)))*11)/factor_trimestre," - ")</f>
        <v>7.7679932260795939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-1.4764817549040286E-3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79</v>
      </c>
      <c r="O13" s="899">
        <f t="shared" si="0"/>
        <v>0</v>
      </c>
      <c r="P13" s="899">
        <f t="shared" si="0"/>
        <v>0</v>
      </c>
      <c r="Q13" s="898">
        <f t="shared" si="0"/>
        <v>295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302</v>
      </c>
      <c r="AD13" s="898">
        <f t="shared" si="1"/>
        <v>0</v>
      </c>
      <c r="AE13" s="898">
        <f t="shared" si="1"/>
        <v>0</v>
      </c>
      <c r="AF13" s="898">
        <f t="shared" si="1"/>
        <v>0</v>
      </c>
      <c r="AG13" s="898">
        <f t="shared" si="1"/>
        <v>0</v>
      </c>
      <c r="AH13" s="898">
        <f t="shared" si="1"/>
        <v>145</v>
      </c>
      <c r="AI13" s="898">
        <f t="shared" si="1"/>
        <v>0</v>
      </c>
      <c r="AJ13" s="898">
        <f t="shared" si="1"/>
        <v>0</v>
      </c>
      <c r="AK13" s="898">
        <f t="shared" si="1"/>
        <v>0</v>
      </c>
      <c r="AL13" s="898">
        <f t="shared" si="1"/>
        <v>0</v>
      </c>
      <c r="AM13" s="898">
        <f t="shared" si="1"/>
        <v>4734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285</v>
      </c>
      <c r="BD13" s="898">
        <f t="shared" si="1"/>
        <v>577</v>
      </c>
      <c r="BE13" s="898">
        <f t="shared" si="1"/>
        <v>0</v>
      </c>
      <c r="BF13" s="898">
        <f t="shared" si="1"/>
        <v>0</v>
      </c>
      <c r="BG13" s="898">
        <f>IF(ISNUMBER(Datos!K13/Datos!J13),Datos!K13/Datos!J13," - ")</f>
        <v>1.4116161616161615</v>
      </c>
      <c r="BH13" s="902">
        <f>IF(ISNUMBER(((Datos!L13/Datos!K13)*11)/factor_trimestre),((Datos!L13/Datos!K13)*11)/factor_trimestre," - ")</f>
        <v>7.8166368515205722</v>
      </c>
      <c r="BI13" s="898">
        <f>IF(ISNUMBER('Resol  Asuntos'!D13/NºAsuntos!G13),'Resol  Asuntos'!D13/NºAsuntos!G13," - ")</f>
        <v>0.24132091447925486</v>
      </c>
      <c r="BJ13" s="898" t="str">
        <f>IF(ISNUMBER(Datos!CI13/Datos!CJ13),Datos!CI13/Datos!CJ13," - ")</f>
        <v xml:space="preserve"> - </v>
      </c>
      <c r="BK13" s="898">
        <f>SUBTOTAL(9,BK8:BK12)</f>
        <v>0</v>
      </c>
      <c r="BL13" s="898" t="str">
        <f>IF(ISNUMBER((I13-AB13+L13)/(F13)),(I13-AB13+L13)/(F13)," - ")</f>
        <v xml:space="preserve"> - </v>
      </c>
      <c r="BM13" s="903">
        <f>SUBTOTAL(9,BM9:BM12)</f>
        <v>-1.4764817549040286E-3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1712</v>
      </c>
      <c r="G16" s="597">
        <f>IF(ISNUMBER(IF(D_I="SI",Datos!I16,Datos!I16+Datos!AC16)),IF(D_I="SI",Datos!I16,Datos!I16+Datos!AC16)," - ")</f>
        <v>1700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613</v>
      </c>
      <c r="AC16" s="225">
        <f>IF(ISNUMBER(Datos!Q16),Datos!Q16," - ")</f>
        <v>10</v>
      </c>
      <c r="AD16" s="333"/>
      <c r="AE16" s="483"/>
      <c r="AF16" s="595">
        <f>IF(ISNUMBER(IF(D_I="SI",Datos!L16,Datos!L16+Datos!AF16)),IF(D_I="SI",Datos!L16,Datos!L16+Datos!AF16)," - ")</f>
        <v>1809</v>
      </c>
      <c r="AG16" s="333"/>
      <c r="AH16" s="333"/>
      <c r="AI16" s="333"/>
      <c r="AJ16" s="333"/>
      <c r="AK16" s="333"/>
      <c r="AL16" s="478"/>
      <c r="AM16" s="334">
        <f>IF(ISNUMBER(Datos!R16),Datos!R16," - ")</f>
        <v>310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166</v>
      </c>
      <c r="BD16" s="228">
        <f>IF(ISNUMBER(Datos!N16),Datos!N16," - ")</f>
        <v>312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0.86338028169014081</v>
      </c>
      <c r="BH16" s="259">
        <f>IF(ISNUMBER(((IF(D_I="SI",Datos!L16/Datos!K16,(Datos!L16+Datos!AF16)/(Datos!K16+Datos!AE16)))*11)/factor_trimestre),((IF(D_I="SI",Datos!L16/Datos!K16,(Datos!L16+Datos!AF16)/(Datos!K16+Datos!AE16)))*11)/factor_trimestre," - ")</f>
        <v>8.8531810766721044</v>
      </c>
      <c r="BI16" s="242">
        <f>IF(ISNUMBER('Resol  Asuntos'!D16/NºAsuntos!G16),'Resol  Asuntos'!D16/NºAsuntos!G16," - ")</f>
        <v>0.2707993474714519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0</v>
      </c>
      <c r="B17" s="506" t="s">
        <v>396</v>
      </c>
      <c r="C17" s="7" t="str">
        <f>Datos!A17</f>
        <v>Jdos. Violencia contra la mujer/Secc Viol. TI.</v>
      </c>
      <c r="D17" s="507"/>
      <c r="E17" s="1024">
        <f>IF(ISNUMBER(Datos!AQ17),Datos!AQ17," - ")</f>
        <v>0</v>
      </c>
      <c r="F17" s="224" t="str">
        <f>IF(ISNUMBER(AF17+AB17-I17-L17),AF17+AB17-I17-L17," - ")</f>
        <v xml:space="preserve"> - </v>
      </c>
      <c r="G17" s="332" t="str">
        <f>IF(ISNUMBER(IF(D_I="SI",Datos!I17,Datos!I17+Datos!AC17)),IF(D_I="SI",Datos!I17,Datos!I17+Datos!AC17)," - ")</f>
        <v xml:space="preserve"> - </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t="str">
        <f>IF(ISNUMBER(IF(D_I="SI",Datos!K17,Datos!K17+Datos!AE17)),IF(D_I="SI",Datos!K17,Datos!K17+Datos!AE17)," - ")</f>
        <v xml:space="preserve"> - </v>
      </c>
      <c r="AC17" s="225" t="str">
        <f>IF(ISNUMBER(Datos!Q17),Datos!Q17," - ")</f>
        <v xml:space="preserve"> - </v>
      </c>
      <c r="AD17" s="333"/>
      <c r="AE17" s="483"/>
      <c r="AF17" s="331" t="str">
        <f>IF(ISNUMBER(Datos!L17),Datos!L17,"-")</f>
        <v>-</v>
      </c>
      <c r="AG17" s="333"/>
      <c r="AH17" s="333"/>
      <c r="AI17" s="333"/>
      <c r="AJ17" s="333"/>
      <c r="AK17" s="333"/>
      <c r="AL17" s="478"/>
      <c r="AM17" s="334" t="str">
        <f>IF(ISNUMBER(Datos!R17),Datos!R17," - ")</f>
        <v xml:space="preserve"> - </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t="str">
        <f>IF(ISNUMBER(Datos!M17),Datos!M17," - ")</f>
        <v xml:space="preserve"> - </v>
      </c>
      <c r="BD17" s="228" t="str">
        <f>IF(ISNUMBER(Datos!N17),Datos!N17," - ")</f>
        <v xml:space="preserve"> - </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1712</v>
      </c>
      <c r="G18" s="897">
        <f>SUBTOTAL(9,G15:G17)</f>
        <v>1700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613</v>
      </c>
      <c r="AC18" s="898">
        <f t="shared" si="4"/>
        <v>10</v>
      </c>
      <c r="AD18" s="898">
        <f t="shared" si="4"/>
        <v>0</v>
      </c>
      <c r="AE18" s="898">
        <f t="shared" si="4"/>
        <v>0</v>
      </c>
      <c r="AF18" s="898">
        <f t="shared" si="4"/>
        <v>1809</v>
      </c>
      <c r="AG18" s="898">
        <f t="shared" si="4"/>
        <v>0</v>
      </c>
      <c r="AH18" s="898">
        <f t="shared" si="4"/>
        <v>0</v>
      </c>
      <c r="AI18" s="898">
        <f t="shared" si="4"/>
        <v>0</v>
      </c>
      <c r="AJ18" s="898">
        <f t="shared" si="4"/>
        <v>0</v>
      </c>
      <c r="AK18" s="898">
        <f t="shared" si="4"/>
        <v>0</v>
      </c>
      <c r="AL18" s="898">
        <f t="shared" si="4"/>
        <v>0</v>
      </c>
      <c r="AM18" s="898">
        <f t="shared" si="4"/>
        <v>310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166</v>
      </c>
      <c r="BD18" s="898">
        <f t="shared" si="4"/>
        <v>312</v>
      </c>
      <c r="BE18" s="898">
        <f t="shared" si="4"/>
        <v>0</v>
      </c>
      <c r="BF18" s="898">
        <f t="shared" si="4"/>
        <v>0</v>
      </c>
      <c r="BG18" s="898">
        <f>IF(ISNUMBER(Datos!K18/Datos!J18),Datos!K18/Datos!J18," - ")</f>
        <v>0.86338028169014081</v>
      </c>
      <c r="BH18" s="902">
        <f>IF(ISNUMBER(((Datos!L18/Datos!K18)*11)/factor_trimestre),((Datos!L18/Datos!K18)*11)/factor_trimestre," - ")</f>
        <v>8.8531810766721044</v>
      </c>
      <c r="BI18" s="898">
        <f>SUBTOTAL(9,BI15:BI17)</f>
        <v>0.2707993474714519</v>
      </c>
      <c r="BJ18" s="898">
        <f>SUBTOTAL(9,BJ15:BJ17)</f>
        <v>0</v>
      </c>
      <c r="BK18" s="898">
        <f>SUBTOTAL(9,BK15:BK17)</f>
        <v>0</v>
      </c>
      <c r="BL18" s="898">
        <f>IF(ISNUMBER((I18-AB18+L18)/(F18)),(I18-AB18+L18)/(F18)," - ")</f>
        <v>-0.35806074766355139</v>
      </c>
      <c r="BM18" s="904">
        <f>IF(ISNUMBER((Datos!P18-Datos!Q18)/(Datos!R18-Datos!P18+Datos!Q18)),(Datos!P18-Datos!Q18)/(Datos!R18-Datos!P18+Datos!Q18)," - ")</f>
        <v>4.0268456375838924E-2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1712</v>
      </c>
      <c r="G19" s="819">
        <f t="shared" si="6"/>
        <v>1700</v>
      </c>
      <c r="H19" s="821">
        <f t="shared" si="6"/>
        <v>0</v>
      </c>
      <c r="I19" s="819">
        <f t="shared" si="6"/>
        <v>0</v>
      </c>
      <c r="J19" s="821">
        <f t="shared" si="6"/>
        <v>0</v>
      </c>
      <c r="K19" s="821">
        <f t="shared" si="6"/>
        <v>0</v>
      </c>
      <c r="L19" s="880">
        <f t="shared" si="6"/>
        <v>0</v>
      </c>
      <c r="M19" s="880">
        <f t="shared" si="6"/>
        <v>0</v>
      </c>
      <c r="N19" s="880">
        <f t="shared" si="6"/>
        <v>79</v>
      </c>
      <c r="O19" s="880">
        <f t="shared" si="6"/>
        <v>0</v>
      </c>
      <c r="P19" s="880">
        <f t="shared" si="6"/>
        <v>0</v>
      </c>
      <c r="Q19" s="821">
        <f t="shared" si="6"/>
        <v>317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613</v>
      </c>
      <c r="AC19" s="820">
        <f t="shared" si="7"/>
        <v>312</v>
      </c>
      <c r="AD19" s="820">
        <f t="shared" si="7"/>
        <v>0</v>
      </c>
      <c r="AE19" s="820">
        <f t="shared" si="7"/>
        <v>0</v>
      </c>
      <c r="AF19" s="827">
        <f t="shared" si="7"/>
        <v>1809</v>
      </c>
      <c r="AG19" s="827">
        <f t="shared" si="7"/>
        <v>0</v>
      </c>
      <c r="AH19" s="827">
        <f t="shared" si="7"/>
        <v>145</v>
      </c>
      <c r="AI19" s="827">
        <f t="shared" si="7"/>
        <v>0</v>
      </c>
      <c r="AJ19" s="820">
        <f t="shared" si="7"/>
        <v>0</v>
      </c>
      <c r="AK19" s="827">
        <f t="shared" si="7"/>
        <v>0</v>
      </c>
      <c r="AL19" s="827">
        <f t="shared" si="7"/>
        <v>0</v>
      </c>
      <c r="AM19" s="827">
        <f t="shared" si="7"/>
        <v>5044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451</v>
      </c>
      <c r="BD19" s="819">
        <f t="shared" si="7"/>
        <v>889</v>
      </c>
      <c r="BE19" s="819">
        <f t="shared" si="7"/>
        <v>0</v>
      </c>
      <c r="BF19" s="829">
        <f t="shared" si="7"/>
        <v>0</v>
      </c>
      <c r="BG19" s="914">
        <f>IF(ISNUMBER(Datos!K19/Datos!J19),Datos!K19/Datos!J19," - ")</f>
        <v>1.1524633821571237</v>
      </c>
      <c r="BH19" s="914">
        <f>IF(ISNUMBER(((Datos!L19/Datos!K19)*11)/factor_trimestre),((Datos!L19/Datos!K19)*11)/factor_trimestre," - ")</f>
        <v>8.1837088388214916</v>
      </c>
      <c r="BI19" s="812">
        <f>IF(ISNUMBER(Datos!J19/Datos!I19),Datos!J19/Datos!I19," - ")</f>
        <v>0.3041101437537963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-0.35806074766355139</v>
      </c>
      <c r="BM19" s="888">
        <f>IF(ISNUMBER((Datos!P19-Datos!Q19+R19)/(Datos!R19-Datos!P19+Datos!Q19-R19)),(Datos!P19-Datos!Q19+R19)/(Datos!R19-Datos!P19+Datos!Q19-R19)," - ")</f>
        <v>9.9226036912085738E-4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1133.3333333333333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988.42366085263927</v>
      </c>
      <c r="G21" s="551">
        <f>IF(ISNUMBER(STDEV(G8:G18)),STDEV(G8:G18),"-")</f>
        <v>981.4954576223638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353.91571501324063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68.704682033565462</v>
      </c>
      <c r="BD21" s="550"/>
      <c r="BE21" s="550">
        <f>IF(ISNUMBER(STDEV(BE8:BE18)),STDEV(BE8:BE18),"-")</f>
        <v>0</v>
      </c>
      <c r="BF21" s="555">
        <f>IF(ISNUMBER(STDEV(BF8:BF18)),STDEV(BF8:BF18),"-")</f>
        <v>0</v>
      </c>
      <c r="BG21" s="774">
        <f>IF(ISNUMBER(STDEV(BG8:BG18)),STDEV(BG8:BG18),"-")</f>
        <v>0.30130334709080192</v>
      </c>
      <c r="BH21" s="775">
        <f>IF(ISNUMBER(STDEV(BH8:BH18)),STDEV(BH8:BH18),"-")</f>
        <v>0.61281314483788674</v>
      </c>
      <c r="BI21" s="248">
        <f>IF(ISNUMBER(STDEV(BI8:BI18)),STDEV(BI8:BI18),"-")</f>
        <v>1.701938122333331E-2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mPAZDJQU9Ufvb0uHtncMKy8sd+L3weJxlST8Q6Rqkft4wMlTFG3VSJGsAjr+lnoorEIW8GNZUswEWoDEhBQk5g==" saltValue="DKPPdDpc8tPI3FdBcZuM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CARLET</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0</v>
      </c>
      <c r="B10" s="506" t="s">
        <v>246</v>
      </c>
      <c r="C10" s="7" t="str">
        <f>Datos!A10</f>
        <v>Jdos. Violencia contra la mujer/Secc Viol. TI.</v>
      </c>
      <c r="D10" s="507"/>
      <c r="E10" s="1167">
        <f>IF(ISNUMBER(Datos!AQ10),Datos!AQ10," - ")</f>
        <v>0</v>
      </c>
      <c r="F10" s="224" t="str">
        <f>IF(ISNUMBER(Datos!L10+Datos!K10-Datos!J10),Datos!L10+Datos!K10-Datos!J10," - ")</f>
        <v xml:space="preserve"> - </v>
      </c>
      <c r="G10" s="224" t="str">
        <f>IF(ISNUMBER(Datos!I10),Datos!I10," - ")</f>
        <v xml:space="preserve"> - </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t="str">
        <f>IF(ISNUMBER(Datos!K10),Datos!K10," - ")</f>
        <v xml:space="preserve"> - </v>
      </c>
      <c r="Z10" s="618" t="str">
        <f>IF(ISNUMBER(Datos!Q10),Datos!Q10," - ")</f>
        <v xml:space="preserve"> - </v>
      </c>
      <c r="AA10" s="331" t="str">
        <f>IF(ISNUMBER(Datos!L10),Datos!L10,"-")</f>
        <v>-</v>
      </c>
      <c r="AB10" s="333"/>
      <c r="AC10" s="333"/>
      <c r="AD10" s="483"/>
      <c r="AE10" s="483" t="str">
        <f>IF(ISNUMBER(Datos!R10),Datos!R10," - ")</f>
        <v xml:space="preserve"> - </v>
      </c>
      <c r="AF10" s="228" t="str">
        <f>IF(ISNUMBER(Datos!BV10),Datos!BV10," - ")</f>
        <v xml:space="preserve"> - </v>
      </c>
      <c r="AG10" s="224" t="str">
        <f>IF(ISNUMBER(Datos!DV10),Datos!DV10," - ")</f>
        <v xml:space="preserve"> - </v>
      </c>
      <c r="AH10" s="297"/>
      <c r="AI10" s="226"/>
      <c r="AJ10" s="224" t="str">
        <f>IF(ISNUMBER(Datos!M10),Datos!M10," - ")</f>
        <v xml:space="preserve"> - </v>
      </c>
      <c r="AK10" s="228" t="str">
        <f>IF(ISNUMBER(Datos!N10),Datos!N10," - ")</f>
        <v xml:space="preserve"> - </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295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302</v>
      </c>
      <c r="AA12" s="331" t="str">
        <f>IF(ISNUMBER(IF(J_V="SI",Datos!L12,Datos!L12+Datos!AB12)-IF(Monitorios="SI",Datos!CD12,0)),
                          IF(J_V="SI",Datos!L12,Datos!L12+Datos!AB12)-IF(Monitorios="SI",Datos!CD12,0),
                          " - ")</f>
        <v xml:space="preserve"> - </v>
      </c>
      <c r="AB12" s="333"/>
      <c r="AC12" s="333"/>
      <c r="AD12" s="483"/>
      <c r="AE12" s="483">
        <f>IF(ISNUMBER(Datos!R12),Datos!R12," - ")</f>
        <v>4734</v>
      </c>
      <c r="AF12" s="228" t="str">
        <f>IF(ISNUMBER(Datos!BV12),Datos!BV12," - ")</f>
        <v xml:space="preserve"> - </v>
      </c>
      <c r="AG12" s="224" t="str">
        <f>IF(ISNUMBER(Datos!DV12),Datos!DV12," - ")</f>
        <v xml:space="preserve"> - </v>
      </c>
      <c r="AH12" s="297"/>
      <c r="AI12" s="226"/>
      <c r="AJ12" s="224">
        <f>IF(ISNUMBER(Datos!M12),Datos!M12," - ")</f>
        <v>285</v>
      </c>
      <c r="AK12" s="228">
        <f>IF(ISNUMBER(Datos!N12),Datos!N12," - ")</f>
        <v>577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7.7679932260795939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-1.4764817549040286E-3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295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302</v>
      </c>
      <c r="AA13" s="899">
        <f t="shared" si="2"/>
        <v>0</v>
      </c>
      <c r="AB13" s="899">
        <f t="shared" si="2"/>
        <v>0</v>
      </c>
      <c r="AC13" s="899">
        <f t="shared" si="2"/>
        <v>0</v>
      </c>
      <c r="AD13" s="899">
        <f t="shared" si="2"/>
        <v>0</v>
      </c>
      <c r="AE13" s="899">
        <f t="shared" si="2"/>
        <v>4734</v>
      </c>
      <c r="AF13" s="907">
        <f t="shared" si="2"/>
        <v>0</v>
      </c>
      <c r="AG13" s="907">
        <f t="shared" si="2"/>
        <v>0</v>
      </c>
      <c r="AH13" s="907">
        <f t="shared" si="2"/>
        <v>0</v>
      </c>
      <c r="AI13" s="907">
        <f t="shared" si="2"/>
        <v>0</v>
      </c>
      <c r="AJ13" s="907">
        <f t="shared" si="2"/>
        <v>285</v>
      </c>
      <c r="AK13" s="907">
        <f t="shared" si="2"/>
        <v>577</v>
      </c>
      <c r="AL13" s="907">
        <f t="shared" si="2"/>
        <v>0</v>
      </c>
      <c r="AM13" s="907">
        <f t="shared" si="2"/>
        <v>0</v>
      </c>
      <c r="AN13" s="907">
        <f t="shared" si="2"/>
        <v>0</v>
      </c>
      <c r="AO13" s="903">
        <f>IF(ISNUMBER(((NºAsuntos!I13/NºAsuntos!G13)*11)/factor_trimestre),((NºAsuntos!I13/NºAsuntos!G13)*11)/factor_trimestre," - ")</f>
        <v>7.7679932260795939</v>
      </c>
      <c r="AP13" s="909" t="str">
        <f>IF(ISNUMBER(Datos!CI13/Datos!CJ13),Datos!CI13/Datos!CJ13," - ")</f>
        <v xml:space="preserve"> - </v>
      </c>
      <c r="AQ13" s="927">
        <f t="shared" ref="AQ13:AV13" si="3">SUBTOTAL(9,AQ9:AQ12)</f>
        <v>0</v>
      </c>
      <c r="AR13" s="927">
        <f t="shared" si="3"/>
        <v>-1.4764817549040286E-3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1712</v>
      </c>
      <c r="G16" s="224">
        <f>IF(ISNUMBER(IF(D_I="SI",Datos!I16,Datos!I16+Datos!AC16)),IF(D_I="SI",Datos!I16,Datos!I16+Datos!AC16)," - ")</f>
        <v>1700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613</v>
      </c>
      <c r="Z16" s="618">
        <f>IF(ISNUMBER(Datos!Q16),Datos!Q16," - ")</f>
        <v>10</v>
      </c>
      <c r="AA16" s="331">
        <f>IF(ISNUMBER(IF(D_I="SI",Datos!L16,Datos!L16+Datos!AF16)),IF(D_I="SI",Datos!L16,Datos!L16+Datos!AF16)," - ")</f>
        <v>1809</v>
      </c>
      <c r="AB16" s="333"/>
      <c r="AC16" s="333"/>
      <c r="AD16" s="483"/>
      <c r="AE16" s="483">
        <f>IF(ISNUMBER(Datos!R16),Datos!R16," - ")</f>
        <v>310</v>
      </c>
      <c r="AF16" s="228" t="str">
        <f>IF(ISNUMBER(Datos!BV16),Datos!BV16," - ")</f>
        <v xml:space="preserve"> - </v>
      </c>
      <c r="AG16" s="224"/>
      <c r="AH16" s="297"/>
      <c r="AI16" s="226"/>
      <c r="AJ16" s="224">
        <f>IF(ISNUMBER(Datos!M16),Datos!M16," - ")</f>
        <v>166</v>
      </c>
      <c r="AK16" s="228">
        <f>IF(ISNUMBER(Datos!N16),Datos!N16," - ")</f>
        <v>312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8.8531810766721044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0</v>
      </c>
      <c r="B17" s="506" t="s">
        <v>396</v>
      </c>
      <c r="C17" s="7" t="str">
        <f>Datos!A17</f>
        <v>Jdos. Violencia contra la mujer/Secc Viol. TI.</v>
      </c>
      <c r="D17" s="507"/>
      <c r="E17" s="1167">
        <f>IF(ISNUMBER(Datos!AQ17),Datos!AQ17," - ")</f>
        <v>0</v>
      </c>
      <c r="F17" s="224" t="str">
        <f>IF(ISNUMBER(AA17+Y17-I17-K17),AA17+Y17-I17-K17," - ")</f>
        <v xml:space="preserve"> - </v>
      </c>
      <c r="G17" s="522" t="str">
        <f>IF(ISNUMBER(IF(D_I="SI",Datos!I17,Datos!I17+Datos!AC17)),IF(D_I="SI",Datos!I17,Datos!I17+Datos!AC17)," - ")</f>
        <v xml:space="preserve"> - </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t="str">
        <f>IF(ISNUMBER(IF(D_I="SI",Datos!K17,Datos!K17+Datos!AE17)),IF(D_I="SI",Datos!K17,Datos!K17+Datos!AE17)," - ")</f>
        <v xml:space="preserve"> - </v>
      </c>
      <c r="Z17" s="618" t="str">
        <f>IF(ISNUMBER(Datos!Q17),Datos!Q17," - ")</f>
        <v xml:space="preserve"> - </v>
      </c>
      <c r="AA17" s="331" t="str">
        <f>IF(ISNUMBER(Datos!L17),Datos!L17,"-")</f>
        <v>-</v>
      </c>
      <c r="AB17" s="333"/>
      <c r="AC17" s="333"/>
      <c r="AD17" s="483"/>
      <c r="AE17" s="483" t="str">
        <f>IF(ISNUMBER(Datos!R17),Datos!R17," - ")</f>
        <v xml:space="preserve"> - </v>
      </c>
      <c r="AF17" s="228" t="str">
        <f>IF(ISNUMBER(Datos!BV17),Datos!BV17," - ")</f>
        <v xml:space="preserve"> - </v>
      </c>
      <c r="AG17" s="224" t="str">
        <f>IF(ISNUMBER(Datos!DV17),Datos!DV17," - ")</f>
        <v xml:space="preserve"> - </v>
      </c>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1712</v>
      </c>
      <c r="G18" s="897">
        <f>SUBTOTAL(9,G15:G17)</f>
        <v>1700</v>
      </c>
      <c r="H18" s="931">
        <f>SUBTOTAL(9,H15:H17)</f>
        <v>0</v>
      </c>
      <c r="I18" s="910">
        <f>SUBTOTAL(9,I15:I17)</f>
        <v>0</v>
      </c>
      <c r="J18" s="866">
        <f>SUBTOTAL(9,J14:J17)</f>
        <v>0</v>
      </c>
      <c r="K18" s="931">
        <f t="shared" ref="K18:S18" si="4">SUBTOTAL(9,K15:K17)</f>
        <v>0</v>
      </c>
      <c r="L18" s="931">
        <f t="shared" si="4"/>
        <v>0</v>
      </c>
      <c r="M18" s="931">
        <f t="shared" si="4"/>
        <v>0</v>
      </c>
      <c r="N18" s="931">
        <f t="shared" si="4"/>
        <v>22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613</v>
      </c>
      <c r="Z18" s="931">
        <f t="shared" si="5"/>
        <v>10</v>
      </c>
      <c r="AA18" s="931">
        <f t="shared" si="5"/>
        <v>1809</v>
      </c>
      <c r="AB18" s="931">
        <f t="shared" si="5"/>
        <v>0</v>
      </c>
      <c r="AC18" s="931">
        <f t="shared" si="5"/>
        <v>0</v>
      </c>
      <c r="AD18" s="931">
        <f t="shared" si="5"/>
        <v>0</v>
      </c>
      <c r="AE18" s="931">
        <f t="shared" si="5"/>
        <v>310</v>
      </c>
      <c r="AF18" s="931">
        <f t="shared" si="5"/>
        <v>0</v>
      </c>
      <c r="AG18" s="931">
        <f t="shared" si="5"/>
        <v>0</v>
      </c>
      <c r="AH18" s="931">
        <f t="shared" si="5"/>
        <v>0</v>
      </c>
      <c r="AI18" s="931">
        <f t="shared" si="5"/>
        <v>0</v>
      </c>
      <c r="AJ18" s="931">
        <f t="shared" si="5"/>
        <v>166</v>
      </c>
      <c r="AK18" s="931">
        <f t="shared" si="5"/>
        <v>312</v>
      </c>
      <c r="AL18" s="931">
        <f t="shared" si="5"/>
        <v>0</v>
      </c>
      <c r="AM18" s="931">
        <f t="shared" si="5"/>
        <v>0</v>
      </c>
      <c r="AN18" s="931">
        <f t="shared" si="5"/>
        <v>0</v>
      </c>
      <c r="AO18" s="933">
        <f>IF(ISNUMBER(((NºAsuntos!I18/NºAsuntos!G18)*11)/factor_trimestre),((NºAsuntos!I18/NºAsuntos!G18)*11)/factor_trimestre," - ")</f>
        <v>8.8531810766721044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1712</v>
      </c>
      <c r="G19" s="819">
        <f t="shared" si="7"/>
        <v>1700</v>
      </c>
      <c r="H19" s="820">
        <f t="shared" si="7"/>
        <v>0</v>
      </c>
      <c r="I19" s="819">
        <f t="shared" si="7"/>
        <v>0</v>
      </c>
      <c r="J19" s="821">
        <f t="shared" si="7"/>
        <v>0</v>
      </c>
      <c r="K19" s="819">
        <f t="shared" si="7"/>
        <v>0</v>
      </c>
      <c r="L19" s="822">
        <f t="shared" si="7"/>
        <v>0</v>
      </c>
      <c r="M19" s="819">
        <f t="shared" si="7"/>
        <v>0</v>
      </c>
      <c r="N19" s="820">
        <f t="shared" si="7"/>
        <v>317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613</v>
      </c>
      <c r="Z19" s="826">
        <f t="shared" si="8"/>
        <v>312</v>
      </c>
      <c r="AA19" s="827">
        <f t="shared" si="8"/>
        <v>1809</v>
      </c>
      <c r="AB19" s="827">
        <f t="shared" si="8"/>
        <v>0</v>
      </c>
      <c r="AC19" s="827">
        <f t="shared" si="8"/>
        <v>0</v>
      </c>
      <c r="AD19" s="828">
        <f t="shared" si="8"/>
        <v>0</v>
      </c>
      <c r="AE19" s="828">
        <f t="shared" si="8"/>
        <v>5044</v>
      </c>
      <c r="AF19" s="829">
        <f t="shared" si="8"/>
        <v>0</v>
      </c>
      <c r="AG19" s="830">
        <f t="shared" si="8"/>
        <v>0</v>
      </c>
      <c r="AH19" s="831">
        <f t="shared" si="8"/>
        <v>0</v>
      </c>
      <c r="AI19" s="829">
        <f t="shared" si="8"/>
        <v>0</v>
      </c>
      <c r="AJ19" s="819">
        <f t="shared" si="8"/>
        <v>451</v>
      </c>
      <c r="AK19" s="819">
        <f t="shared" si="8"/>
        <v>889</v>
      </c>
      <c r="AL19" s="819">
        <f t="shared" si="8"/>
        <v>0</v>
      </c>
      <c r="AM19" s="832">
        <f t="shared" si="8"/>
        <v>0</v>
      </c>
      <c r="AN19" s="822">
        <f>IF(ISNUMBER(Datos!K19/Datos!J19),Datos!K19/Datos!J19," - ")</f>
        <v>1.1524633821571237</v>
      </c>
      <c r="AO19" s="822">
        <f>IF(ISNUMBER(FIND("06",Criterios!A8,1)),(IF(ISNUMBER(((Datos!R19/Datos!Q19)*11)/factor_trimestre),((Datos!R19/Datos!Q19)*11)/factor_trimestre," - ")),(IF(ISNUMBER(((Datos!L19/Datos!K19)*11)/factor_trimestre),((Datos!L19/Datos!K19)*11)/factor_trimestre," - ")))</f>
        <v>8.1837088388214916</v>
      </c>
      <c r="AP19" s="833" t="str">
        <f>IF(ISNUMBER(Datos!CI19/Datos!CJ19),Datos!CI19/Datos!CJ19," - ")</f>
        <v xml:space="preserve"> - </v>
      </c>
      <c r="AQ19" s="833">
        <f>IF(OR(ISNUMBER(FIND("01",Criterios!A8,1)),ISNUMBER(FIND("02",Criterios!A8,1)),ISNUMBER(FIND("03",Criterios!A8,1)),ISNUMBER(FIND("04",Criterios!A8,1))),(J19-Y19+K19)/(F19-K19),(I19-Y19+K19)/(F19-K19))</f>
        <v>-0.35806074766355139</v>
      </c>
      <c r="AR19" s="833">
        <f>IF(ISNUMBER((Datos!P19-Datos!Q19+O19)/(Datos!R19-Datos!P19+Datos!Q19-O19)),(Datos!P19-Datos!Q19+O19)/(Datos!R19-Datos!P19+Datos!Q19-O19)," - ")</f>
        <v>9.9226036912085738E-4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1133.3333333333333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988.42366085263927</v>
      </c>
      <c r="G21" s="551">
        <f>IF(ISNUMBER(STDEV(G8:G18)),STDEV(G8:G18),"-")</f>
        <v>981.4954576223638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68.704682033565462</v>
      </c>
      <c r="AK21" s="251"/>
      <c r="AL21" s="251">
        <f>IF(ISNUMBER(STDEV(AL8:AL18)),STDEV(AL8:AL18),"-")</f>
        <v>0</v>
      </c>
      <c r="AM21" s="253">
        <f>IF(ISNUMBER(STDEV(AM8:AM18)),STDEV(AM8:AM18),"-")</f>
        <v>0</v>
      </c>
      <c r="AN21" s="538">
        <f>IF(ISNUMBER(STDEV(AN8:AN18)),STDEV(AN8:AN18),"-")</f>
        <v>0</v>
      </c>
      <c r="AO21" s="539">
        <f>IF(ISNUMBER(STDEV(AO8:AO18)),STDEV(AO8:AO18),"-")</f>
        <v>0.62653349766089739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FPVf9jt+t2SjupYGe54t8AfjiTRD8tBWbGF2gEO/KhP94JrovbbKfmHdBB9ylow83Z42Nmzrwf0J+zY0kJHCQ==" saltValue="hUrxSGquMW9BVpeiHe2g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FWSHkkw4Bt3TMUL8t+dQRQKg9T8ygqIA7E5sfN/BEpjsDmVjfTNUKpST3DtrRU24in0QQKD0S8Dflbb0rcxHA==" saltValue="7sM13rif03EyLJGXrGPD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U+2e4iIXa2AlBWzaI+IRrFFoAAhoQjbZfCckBRRUs++49aoMJJzvVpV20W92yhDr7riX6RnJvo/RHPeeEqBXA==" saltValue="9roL8qf7vIjg6rcgjju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CARLET</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0.24132091447925486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0.17063965507042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BRCcDQaS1XxQ5OLrq5mPetdRz/kcxMlZYtxpZFq7/vVSGKx9m9fygIVuyq+WoB6hThTlRZrPWfYgJbHlyaOqA==" saltValue="QsYLw0xZcIfDzho2zCos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qsiHdk6JgmNv3gzZpB+Bool31ZzZwaVXIQaso/PPoj9q+iaZAoG7QoKXE3rSdaMq1/fOJbQI/Rimke+SEX65RA==" saltValue="6+O/vRMdlzH4SbotRc9G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CARLET</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0</v>
      </c>
      <c r="C10" s="402" t="str">
        <f>IF(ISNUMBER(Datos!I10),Datos!I10," - ")</f>
        <v xml:space="preserve"> - </v>
      </c>
      <c r="D10" s="403" t="str">
        <f>IF(ISNUMBER(C10/Datos!BH10),C10/Datos!BH10," - ")</f>
        <v xml:space="preserve"> - </v>
      </c>
      <c r="E10" s="402" t="str">
        <f>IF(ISNUMBER(Datos!J10),Datos!J10," - ")</f>
        <v xml:space="preserve"> - </v>
      </c>
      <c r="F10" s="403" t="str">
        <f>IF(ISNUMBER(E10/B10),E10/B10," - ")</f>
        <v xml:space="preserve"> - </v>
      </c>
      <c r="G10" s="402" t="str">
        <f>IF(ISNUMBER(Datos!K10),Datos!K10," - ")</f>
        <v xml:space="preserve"> - </v>
      </c>
      <c r="H10" s="403" t="str">
        <f>IF(ISNUMBER(G10/B10),G10/B10," - ")</f>
        <v xml:space="preserve"> - </v>
      </c>
      <c r="I10" s="402" t="str">
        <f>IF(ISNUMBER(Datos!L10),Datos!L10," - ")</f>
        <v xml:space="preserve"> - </v>
      </c>
      <c r="J10" s="403" t="str">
        <f>IF(ISNUMBER(I10/B10),I10/B10," - ")</f>
        <v xml:space="preserve"> - </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3368</v>
      </c>
      <c r="D12" s="403">
        <f>IF(ISNUMBER(C12/Datos!BH12),C12/Datos!BH12," - ")</f>
        <v>842</v>
      </c>
      <c r="E12" s="402">
        <f>IF(ISNUMBER(IF(J_V="SI",Datos!J12,Datos!J12+Datos!Z12)),IF(J_V="SI",Datos!J12,Datos!J12+Datos!Z12)," - ")</f>
        <v>871</v>
      </c>
      <c r="F12" s="403">
        <f>IF(ISNUMBER(E12/B12),E12/B12," - ")</f>
        <v>217.75</v>
      </c>
      <c r="G12" s="402">
        <f>IF(ISNUMBER(IF(J_V="SI",Datos!K12,Datos!K12+Datos!AA12)),IF(J_V="SI",Datos!K12,Datos!K12+Datos!AA12)," - ")</f>
        <v>1181</v>
      </c>
      <c r="H12" s="403">
        <f>IF(ISNUMBER(G12/B12),G12/B12," - ")</f>
        <v>295.25</v>
      </c>
      <c r="I12" s="402">
        <f>IF(ISNUMBER(IF(J_V="SI",Datos!L12,Datos!L12+Datos!AB12)),IF(J_V="SI",Datos!L12,Datos!L12+Datos!AB12)," - ")</f>
        <v>3058</v>
      </c>
      <c r="J12" s="403">
        <f>IF(ISNUMBER(I12/B12),I12/B12," - ")</f>
        <v>764.5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3368</v>
      </c>
      <c r="D13" s="849" t="str">
        <f>IF(ISNUMBER(C13/Datos!BI13),C13/Datos!BI13," - ")</f>
        <v xml:space="preserve"> - </v>
      </c>
      <c r="E13" s="848">
        <f>SUBTOTAL(9,E8:E12)</f>
        <v>871</v>
      </c>
      <c r="F13" s="849">
        <f>IF(ISNUMBER(E13/B13),E13/B13," - ")</f>
        <v>217.75</v>
      </c>
      <c r="G13" s="848">
        <f>SUBTOTAL(9,G8:G12)</f>
        <v>1181</v>
      </c>
      <c r="H13" s="849">
        <f>IF(ISNUMBER(G13/B13),G13/B13," - ")</f>
        <v>295.25</v>
      </c>
      <c r="I13" s="848">
        <f>SUBTOTAL(9,I8:I12)</f>
        <v>3058</v>
      </c>
      <c r="J13" s="849">
        <f>IF(ISNUMBER(I13/B13),I13/B13," - ")</f>
        <v>764.5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1700</v>
      </c>
      <c r="D16" s="403">
        <f>IF(ISNUMBER(C16/Datos!BH16),C16/Datos!BH16," - ")</f>
        <v>425</v>
      </c>
      <c r="E16" s="402">
        <f>IF(ISNUMBER(IF(D_I="SI",Datos!J16,Datos!J16+Datos!AD16)),IF(D_I="SI",Datos!J16,Datos!J16+Datos!AD16)," - ")</f>
        <v>710</v>
      </c>
      <c r="F16" s="403">
        <f>IF(ISNUMBER(E16/B16),E16/B16," - ")</f>
        <v>177.5</v>
      </c>
      <c r="G16" s="402">
        <f>IF(ISNUMBER(IF(D_I="SI",Datos!K16,Datos!K16+Datos!AE16)),IF(D_I="SI",Datos!K16,Datos!K16+Datos!AE16)," - ")</f>
        <v>613</v>
      </c>
      <c r="H16" s="403">
        <f>IF(ISNUMBER(G16/B16),G16/B16," - ")</f>
        <v>153.25</v>
      </c>
      <c r="I16" s="402">
        <f>IF(ISNUMBER(IF(D_I="SI",Datos!L16,Datos!L16+Datos!AF16)),IF(D_I="SI",Datos!L16,Datos!L16+Datos!AF16)," - ")</f>
        <v>1809</v>
      </c>
      <c r="J16" s="403">
        <f>IF(ISNUMBER(I16/B16),I16/B16," - ")</f>
        <v>452.25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1700</v>
      </c>
      <c r="D18" s="849" t="str">
        <f>IF(ISNUMBER(C18/Datos!BI18),C18/Datos!BI18," - ")</f>
        <v xml:space="preserve"> - </v>
      </c>
      <c r="E18" s="848">
        <f>SUBTOTAL(9,E14:E17)</f>
        <v>710</v>
      </c>
      <c r="F18" s="849">
        <f>IF(ISNUMBER(E18/B18),E18/B18," - ")</f>
        <v>177.5</v>
      </c>
      <c r="G18" s="848">
        <f>SUBTOTAL(9,G14:G17)</f>
        <v>613</v>
      </c>
      <c r="H18" s="849">
        <f>IF(ISNUMBER(G18/B18),G18/B18," - ")</f>
        <v>153.25</v>
      </c>
      <c r="I18" s="848">
        <f>SUBTOTAL(9,I14:I17)</f>
        <v>1809</v>
      </c>
      <c r="J18" s="849">
        <f>IF(ISNUMBER(I18/B18),I18/B18," - ")</f>
        <v>452.25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5068</v>
      </c>
      <c r="D19" s="794" t="str">
        <f>IF(ISNUMBER(C19/Datos!BI19),C19/Datos!BI19," - ")</f>
        <v xml:space="preserve"> - </v>
      </c>
      <c r="E19" s="793">
        <f>SUBTOTAL(9,E9:E18)</f>
        <v>1581</v>
      </c>
      <c r="F19" s="794">
        <f>IF(ISNUMBER(E19/B19),E19/B19," - ")</f>
        <v>395.25</v>
      </c>
      <c r="G19" s="793">
        <f>SUBTOTAL(9,G9:G18)</f>
        <v>1794</v>
      </c>
      <c r="H19" s="794">
        <f>IF(ISNUMBER(G19/B19),G19/B19," - ")</f>
        <v>448.5</v>
      </c>
      <c r="I19" s="793">
        <f>SUBTOTAL(9,I9:I18)</f>
        <v>4867</v>
      </c>
      <c r="J19" s="794">
        <f>IF(ISNUMBER(I19/B19),I19/B19," - ")</f>
        <v>1216.75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vqz/BMcX7ZLDiK3YYC3eC18OsML5kPTkU54l/Cs0t55bD/rzCmWT095mZiYZMPTow4efhmrzY556dtbOLLL0gw==" saltValue="jL+4XEXchm99eIde9gwe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CARLET</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0</v>
      </c>
      <c r="B10" s="506" t="s">
        <v>246</v>
      </c>
      <c r="C10" s="7" t="str">
        <f>Datos!A10</f>
        <v>Jdos. Violencia contra la mujer/Secc Viol. TI.</v>
      </c>
      <c r="D10" s="507"/>
      <c r="E10" s="681">
        <f>IF(ISNUMBER(Datos!AQ10),Datos!AQ10," - ")</f>
        <v>0</v>
      </c>
      <c r="F10" s="682" t="str">
        <f>IF(ISNUMBER(Datos!L10+Datos!K10-Datos!J10),Datos!L10+Datos!K10-Datos!J10," - ")</f>
        <v xml:space="preserve"> - </v>
      </c>
      <c r="G10" s="683" t="str">
        <f>IF(ISNUMBER(Datos!I10),Datos!I10," - ")</f>
        <v xml:space="preserve"> - </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t="str">
        <f>IF(ISNUMBER(Datos!K10),Datos!K10," - ")</f>
        <v xml:space="preserve"> - </v>
      </c>
      <c r="AC10" s="682" t="str">
        <f>IF(ISNUMBER(IF(D_I="SI",DatosP!K17,DatosP!K17+DatosP!AE17)),IF(D_I="SI",DatosP!K17,DatosP!K17+DatosP!AE17)," - ")</f>
        <v xml:space="preserve"> - </v>
      </c>
      <c r="AD10" s="684"/>
      <c r="AE10" s="684"/>
      <c r="AF10" s="687" t="str">
        <f>IF(ISNUMBER(Datos!L10),Datos!L10,"-")</f>
        <v>-</v>
      </c>
      <c r="AG10" s="687" t="str">
        <f>IF(ISNUMBER(DatosP!L17),DatosP!L17,"-")</f>
        <v>-</v>
      </c>
      <c r="AH10" s="688"/>
      <c r="AI10" s="688"/>
      <c r="AJ10" s="681">
        <f>IF(ISNUMBER(Datos!BV10+DatosP!BV17),Datos!BV10+DatosP!BV17," - ")</f>
        <v>0</v>
      </c>
      <c r="AK10" s="671">
        <f>IF(ISNUMBER(Datos!DV10+DatosP!DV17),Datos!DV10+DatosP!DV17," - ")</f>
        <v>0</v>
      </c>
      <c r="AL10" s="682" t="str">
        <f>IF(ISNUMBER(Datos!M10+DatosP!M17),Datos!M10+DatosP!M17," - ")</f>
        <v xml:space="preserve"> - </v>
      </c>
      <c r="AM10" s="689" t="str">
        <f>IF(ISNUMBER(Datos!N10+DatosP!N17),Datos!N10+DatosP!N17," - ")</f>
        <v xml:space="preserve"> - </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295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302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4734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285</v>
      </c>
      <c r="AM12" s="689">
        <f>IF(ISNUMBER(Datos!N12+DatosP!N16),Datos!N12+DatosP!N16," - ")</f>
        <v>577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7.7679932260795939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-1.4764817549040286E-3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295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302</v>
      </c>
      <c r="AE13" s="938">
        <f t="shared" si="1"/>
        <v>0</v>
      </c>
      <c r="AF13" s="938">
        <f t="shared" si="1"/>
        <v>0</v>
      </c>
      <c r="AG13" s="938">
        <f t="shared" si="1"/>
        <v>0</v>
      </c>
      <c r="AH13" s="938">
        <f t="shared" si="1"/>
        <v>4734</v>
      </c>
      <c r="AI13" s="938">
        <f t="shared" si="1"/>
        <v>0</v>
      </c>
      <c r="AJ13" s="938">
        <f t="shared" si="1"/>
        <v>0</v>
      </c>
      <c r="AK13" s="938">
        <f t="shared" si="1"/>
        <v>0</v>
      </c>
      <c r="AL13" s="938">
        <f t="shared" si="1"/>
        <v>285</v>
      </c>
      <c r="AM13" s="938">
        <f t="shared" si="1"/>
        <v>577</v>
      </c>
      <c r="AN13" s="938">
        <f t="shared" si="1"/>
        <v>0</v>
      </c>
      <c r="AO13" s="938">
        <f t="shared" si="1"/>
        <v>0</v>
      </c>
      <c r="AP13" s="943">
        <f>IF(ISNUMBER(((Datos!L13/Datos!K13)*11)/factor_trimestre),((Datos!L13/Datos!K13)*11)/factor_trimestre," - ")</f>
        <v>7.8166368515205722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-1.4764817549040286E-3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0</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8.8531810766721044</v>
      </c>
      <c r="AQ18" s="943">
        <f>IF(ISNUMBER(((Datos!M18/Datos!L18)*11)/factor_trimestre),((Datos!M18/Datos!L18)*11)/factor_trimestre," - ")</f>
        <v>0.27529021558872308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4.0268456375838924E-2</v>
      </c>
      <c r="AW18" s="945">
        <f>IF(ISNUMBER((Datos!Q18-Datos!R18)/(Datos!S18-Datos!Q18+Datos!R18)),(Datos!Q18-Datos!R18)/(Datos!S18-Datos!Q18+Datos!R18)," - ")</f>
        <v>-0.19920318725099601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295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302</v>
      </c>
      <c r="AE19" s="956">
        <f t="shared" si="5"/>
        <v>0</v>
      </c>
      <c r="AF19" s="957">
        <f t="shared" si="5"/>
        <v>0</v>
      </c>
      <c r="AG19" s="957">
        <f t="shared" si="5"/>
        <v>0</v>
      </c>
      <c r="AH19" s="957">
        <f t="shared" si="5"/>
        <v>4734</v>
      </c>
      <c r="AI19" s="957">
        <f t="shared" si="5"/>
        <v>0</v>
      </c>
      <c r="AJ19" s="958">
        <f t="shared" si="5"/>
        <v>0</v>
      </c>
      <c r="AK19" s="958">
        <f t="shared" si="5"/>
        <v>0</v>
      </c>
      <c r="AL19" s="950">
        <f t="shared" si="5"/>
        <v>285</v>
      </c>
      <c r="AM19" s="950">
        <f t="shared" si="5"/>
        <v>577</v>
      </c>
      <c r="AN19" s="950">
        <f t="shared" si="5"/>
        <v>0</v>
      </c>
      <c r="AO19" s="950">
        <f t="shared" si="5"/>
        <v>0</v>
      </c>
      <c r="AP19" s="950">
        <f>IF(ISNUMBER(((Datos!L19/Datos!K19)*11)/factor_trimestre),((Datos!L19/Datos!K19)*11)/factor_trimestre," - ")</f>
        <v>8.1837088388214916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9.9226036912085738E-4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164.54482671904336</v>
      </c>
      <c r="AM21" s="735"/>
      <c r="AN21" s="735">
        <f>IF(ISNUMBER(STDEV(AN8:AN18)),STDEV(AN8:AN18),"-")</f>
        <v>0</v>
      </c>
      <c r="AO21" s="741">
        <f>IF(ISNUMBER(STDEV(AO8:AO18)),STDEV(AO8:AO18),"-")</f>
        <v>0</v>
      </c>
      <c r="AP21" s="778">
        <f>IF(ISNUMBER(STDEV(AP8:AP18)),STDEV(AP8:AP18),"-")</f>
        <v>0.61297400761432852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5RbyBrtLAMtY5GLPOLWjbSI97q5llMx1a5/17ElMYyS2ynwZUPNhKzxyxCYRXDbCzaqOow7gFwyF26xT530QYg==" saltValue="l1iif63w4et8iLmTcM4o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CARLET</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t="str">
        <f>IF(ISNUMBER(E10/Datos!BH10),E10/Datos!BH10," - ")</f>
        <v xml:space="preserve"> - </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7Hzf6FWDhM3Kq745NVRFxIXzdDwYUjqlZ1nIBW/NBxtHlomqTM/zfGetOcyd3k5pmOp3IKzp2WMWOwncAeAwmA==" saltValue="0GfoOKXHecwPrtIy63fP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CARLET</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0</v>
      </c>
      <c r="C10" s="409">
        <f>Datos!AQ10</f>
        <v>0</v>
      </c>
      <c r="D10" s="402" t="str">
        <f>IF(ISNUMBER(Datos!M10),Datos!M10," - ")</f>
        <v xml:space="preserve"> - </v>
      </c>
      <c r="E10" s="403" t="str">
        <f>IF(ISNUMBER(D10/B10),D10/B10," - ")</f>
        <v xml:space="preserve"> - </v>
      </c>
      <c r="F10" s="402" t="str">
        <f>IF(ISNUMBER(Datos!N10),Datos!N10," - ")</f>
        <v xml:space="preserve"> - </v>
      </c>
      <c r="G10" s="403" t="str">
        <f>IF(ISNUMBER(F10/B10),F10/B10," - ")</f>
        <v xml:space="preserve"> - </v>
      </c>
      <c r="H10" s="402" t="str">
        <f>IF(ISNUMBER(Datos!O10),Datos!O10," - ")</f>
        <v xml:space="preserve"> - </v>
      </c>
      <c r="I10" s="403" t="str">
        <f t="shared" ref="I10:I12" si="2">IF(ISNUMBER(H10/B10),H10/B10," - ")</f>
        <v xml:space="preserve"> - </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285</v>
      </c>
      <c r="E12" s="403">
        <f t="shared" si="0"/>
        <v>71.25</v>
      </c>
      <c r="F12" s="402">
        <f>IF(ISNUMBER(Datos!N12),Datos!N12," - ")</f>
        <v>577</v>
      </c>
      <c r="G12" s="403">
        <f t="shared" si="1"/>
        <v>144.25</v>
      </c>
      <c r="H12" s="402">
        <f>IF(ISNUMBER(Datos!O12),Datos!O12," - ")</f>
        <v>481</v>
      </c>
      <c r="I12" s="403">
        <f t="shared" si="2"/>
        <v>120.25</v>
      </c>
      <c r="BZ12" s="1185">
        <f>Datos!EZ12</f>
        <v>0</v>
      </c>
    </row>
    <row r="13" spans="1:78" ht="14.25" thickTop="1" thickBot="1">
      <c r="A13" s="847" t="str">
        <f>Datos!A13</f>
        <v>TOTAL</v>
      </c>
      <c r="B13" s="848">
        <f>Datos!AP13</f>
        <v>4</v>
      </c>
      <c r="C13" s="850">
        <f>Datos!AR13</f>
        <v>4</v>
      </c>
      <c r="D13" s="848">
        <f>SUBTOTAL(9,D9:D12)</f>
        <v>285</v>
      </c>
      <c r="E13" s="849">
        <f t="shared" si="0"/>
        <v>71.25</v>
      </c>
      <c r="F13" s="848">
        <f>SUBTOTAL(9,F9:F12)</f>
        <v>577</v>
      </c>
      <c r="G13" s="849">
        <f t="shared" si="1"/>
        <v>144.25</v>
      </c>
      <c r="H13" s="848">
        <f>SUBTOTAL(9,H9:H12)</f>
        <v>481</v>
      </c>
      <c r="I13" s="849">
        <f>IF(ISNUMBER(H13/B13),H13/B13," - ")</f>
        <v>120.25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166</v>
      </c>
      <c r="E16" s="403">
        <f t="shared" si="3"/>
        <v>41.5</v>
      </c>
      <c r="F16" s="402">
        <f>IF(ISNUMBER(Datos!N16),Datos!N16," - ")</f>
        <v>312</v>
      </c>
      <c r="G16" s="403">
        <f t="shared" si="4"/>
        <v>78</v>
      </c>
      <c r="H16" s="402">
        <f>IF(ISNUMBER(Datos!O16),Datos!O16," - ")</f>
        <v>5</v>
      </c>
      <c r="I16" s="403">
        <f t="shared" si="5"/>
        <v>1.25</v>
      </c>
      <c r="BZ16" s="1185">
        <f>Datos!EZ16</f>
        <v>0</v>
      </c>
    </row>
    <row r="17" spans="1:78" ht="13.5" thickBot="1">
      <c r="A17" s="401" t="str">
        <f>Datos!A17</f>
        <v>Jdos. Violencia contra la mujer/Secc Viol. TI.</v>
      </c>
      <c r="B17" s="426">
        <f>Datos!AO17</f>
        <v>0</v>
      </c>
      <c r="C17" s="427">
        <f>Datos!AQ17</f>
        <v>0</v>
      </c>
      <c r="D17" s="402" t="str">
        <f>IF(ISNUMBER(Datos!M17),Datos!M17," - ")</f>
        <v xml:space="preserve"> - </v>
      </c>
      <c r="E17" s="403" t="str">
        <f>IF(ISNUMBER(D17/B17),D17/B17," - ")</f>
        <v xml:space="preserve"> - </v>
      </c>
      <c r="F17" s="402" t="str">
        <f>IF(ISNUMBER(Datos!N17),Datos!N17," - ")</f>
        <v xml:space="preserve"> - </v>
      </c>
      <c r="G17" s="403" t="str">
        <f>IF(ISNUMBER(F17/B17),F17/B17," - ")</f>
        <v xml:space="preserve"> - </v>
      </c>
      <c r="H17" s="402" t="str">
        <f>IF(ISNUMBER(Datos!O17),Datos!O17," - ")</f>
        <v xml:space="preserve"> - </v>
      </c>
      <c r="I17" s="403" t="str">
        <f t="shared" si="5"/>
        <v xml:space="preserve"> - </v>
      </c>
      <c r="BZ17" s="1185">
        <f>Datos!EZ17</f>
        <v>0</v>
      </c>
    </row>
    <row r="18" spans="1:78" ht="14.25" thickTop="1" thickBot="1">
      <c r="A18" s="847" t="str">
        <f>Datos!A18</f>
        <v>TOTAL</v>
      </c>
      <c r="B18" s="848">
        <f>Datos!AP18</f>
        <v>4</v>
      </c>
      <c r="C18" s="850">
        <f>Datos!AR18</f>
        <v>4</v>
      </c>
      <c r="D18" s="848">
        <f>SUBTOTAL(9,D15:D17)</f>
        <v>166</v>
      </c>
      <c r="E18" s="849">
        <f t="shared" si="3"/>
        <v>41.5</v>
      </c>
      <c r="F18" s="848">
        <f>SUBTOTAL(9,F15:F17)</f>
        <v>312</v>
      </c>
      <c r="G18" s="849">
        <f t="shared" si="4"/>
        <v>78</v>
      </c>
      <c r="H18" s="848">
        <f>SUBTOTAL(9,H15:H17)</f>
        <v>5</v>
      </c>
      <c r="I18" s="849">
        <f>IF(ISNUMBER(H18/B18),H18/B18," - ")</f>
        <v>1.25</v>
      </c>
      <c r="BZ18" s="1185"/>
    </row>
    <row r="19" spans="1:78" ht="14.25" thickTop="1" thickBot="1">
      <c r="A19" s="792" t="str">
        <f>Datos!A19</f>
        <v>TOTAL JURISDICCIONES</v>
      </c>
      <c r="B19" s="793">
        <f>Datos!AP19</f>
        <v>4</v>
      </c>
      <c r="C19" s="793">
        <f>Datos!AR19</f>
        <v>4</v>
      </c>
      <c r="D19" s="793">
        <f>SUBTOTAL(9,D8:D18)</f>
        <v>451</v>
      </c>
      <c r="E19" s="794">
        <f>IF(ISNUMBER(D19/B19),D19/B19," - ")</f>
        <v>112.75</v>
      </c>
      <c r="F19" s="793">
        <f>SUBTOTAL(9,F8:F18)</f>
        <v>889</v>
      </c>
      <c r="G19" s="794">
        <f>IF(ISNUMBER(F19/B19),F19/B19," - ")</f>
        <v>222.25</v>
      </c>
      <c r="H19" s="793">
        <f>SUBTOTAL(9,H8:H18)</f>
        <v>486</v>
      </c>
      <c r="I19" s="794">
        <f>IF(ISNUMBER(H19/B19),H19/B19," - ")</f>
        <v>121.5</v>
      </c>
    </row>
    <row r="22" spans="1:78">
      <c r="A22" s="390" t="str">
        <f>Criterios!A4</f>
        <v>Fecha Informe: 17 mar. 2026</v>
      </c>
    </row>
    <row r="27" spans="1:78">
      <c r="A27" s="413"/>
    </row>
  </sheetData>
  <sheetProtection algorithmName="SHA-512" hashValue="MfrUbm9UxRf/zbjai3ckuoSla+XWzP5uk/U0m9AsFb0+n5JcE1mnO0wQMh2+/FfMHNR9ndenJKShpl0GUH/4qA==" saltValue="+tXAS7zfWvvq67T4rNpX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CARLET</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t="str">
        <f>IF(ISNUMBER(Datos!P10),Datos!P10," - ")</f>
        <v xml:space="preserve"> - </v>
      </c>
      <c r="C10" s="433" t="str">
        <f>IF(ISNUMBER(Datos!Q10),Datos!Q10," - ")</f>
        <v xml:space="preserve"> - </v>
      </c>
      <c r="D10" s="407" t="str">
        <f>IF(ISNUMBER(Datos!R10),Datos!R10," - ")</f>
        <v xml:space="preserve"> - </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295</v>
      </c>
      <c r="C12" s="433">
        <f>IF(ISNUMBER(Datos!Q12),Datos!Q12," - ")</f>
        <v>302</v>
      </c>
      <c r="D12" s="407">
        <f>IF(ISNUMBER(Datos!R12),Datos!R12," - ")</f>
        <v>4734</v>
      </c>
    </row>
    <row r="13" spans="1:4" ht="14.25" thickTop="1" thickBot="1">
      <c r="A13" s="847" t="str">
        <f>Datos!A13</f>
        <v>TOTAL</v>
      </c>
      <c r="B13" s="848">
        <f>SUBTOTAL(9,B9:B12)</f>
        <v>295</v>
      </c>
      <c r="C13" s="852">
        <f>SUBTOTAL(9,C9:C12)</f>
        <v>302</v>
      </c>
      <c r="D13" s="850">
        <f>SUBTOTAL(9,D9:D12)</f>
        <v>4734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v>
      </c>
      <c r="C16" s="433">
        <f>IF(ISNUMBER(Datos!Q16),Datos!Q16," - ")</f>
        <v>10</v>
      </c>
      <c r="D16" s="407">
        <f>IF(ISNUMBER(Datos!R16),Datos!R16," - ")</f>
        <v>310</v>
      </c>
    </row>
    <row r="17" spans="1:4" ht="13.5" thickBot="1">
      <c r="A17" s="401" t="str">
        <f>Datos!A17</f>
        <v>Jdos. Violencia contra la mujer/Secc Viol. TI.</v>
      </c>
      <c r="B17" s="432" t="str">
        <f>IF(ISNUMBER(Datos!P17),Datos!P17," - ")</f>
        <v xml:space="preserve"> - </v>
      </c>
      <c r="C17" s="433" t="str">
        <f>IF(ISNUMBER(Datos!Q17),Datos!Q17," - ")</f>
        <v xml:space="preserve"> - </v>
      </c>
      <c r="D17" s="407" t="str">
        <f>IF(ISNUMBER(Datos!R17),Datos!R17," - ")</f>
        <v xml:space="preserve"> - </v>
      </c>
    </row>
    <row r="18" spans="1:4" ht="14.25" thickTop="1" thickBot="1">
      <c r="A18" s="847" t="str">
        <f>Datos!A18</f>
        <v>TOTAL</v>
      </c>
      <c r="B18" s="848">
        <f>SUBTOTAL(9,B15:B17)</f>
        <v>22</v>
      </c>
      <c r="C18" s="852">
        <f>SUBTOTAL(9,C15:C17)</f>
        <v>10</v>
      </c>
      <c r="D18" s="850">
        <f>SUBTOTAL(9,D15:D17)</f>
        <v>310</v>
      </c>
    </row>
    <row r="19" spans="1:4" ht="16.5" customHeight="1" thickTop="1" thickBot="1">
      <c r="A19" s="792" t="str">
        <f>Datos!A19</f>
        <v>TOTAL JURISDICCIONES</v>
      </c>
      <c r="B19" s="797">
        <f>SUBTOTAL(9,B8:B18)</f>
        <v>317</v>
      </c>
      <c r="C19" s="798">
        <f>SUBTOTAL(9,C8:C18)</f>
        <v>312</v>
      </c>
      <c r="D19" s="799">
        <f>SUBTOTAL(9,D8:D18)</f>
        <v>5044</v>
      </c>
    </row>
    <row r="20" spans="1:4" ht="7.5" customHeight="1"/>
    <row r="21" spans="1:4" ht="6" customHeight="1"/>
    <row r="22" spans="1:4">
      <c r="A22" s="390" t="str">
        <f>Criterios!A4</f>
        <v>Fecha Informe: 17 mar. 2026</v>
      </c>
    </row>
    <row r="27" spans="1:4">
      <c r="A27" s="413"/>
    </row>
  </sheetData>
  <sheetProtection algorithmName="SHA-512" hashValue="CR0e6DpDtIvvwEanqrgHs/C5ixiEyaq6fZOyicr2pEZUMjcoHaeK8tE6eVhWMO0uWrIcuNQ3c8+aAM6YoaQpEw==" saltValue="YFTVgCKjKptsWOIxVG+m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CARLET</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0.21852387843704776</v>
      </c>
      <c r="C12" s="455">
        <f>IF(ISNUMBER(
   IF(J_V="SI",(Datos!J12-Datos!T12)/Datos!T12,(Datos!J12+Datos!Z12-(Datos!T12+Datos!AH12))/(Datos!T12+Datos!AH12))
     ),IF(J_V="SI",(Datos!J12-Datos!T12)/Datos!T12,(Datos!J12+Datos!Z12-(Datos!T12+Datos!AH12))/(Datos!T12+Datos!AH12))," - ")</f>
        <v>-0.18598130841121496</v>
      </c>
      <c r="D12" s="455">
        <f>IF(ISNUMBER(
   IF(J_V="SI",(Datos!K12-Datos!U12)/Datos!U12,(Datos!K12+Datos!AA12-(Datos!U12+Datos!AI12))/(Datos!U12+Datos!AI12))
     ),IF(J_V="SI",(Datos!K12-Datos!U12)/Datos!U12,(Datos!K12+Datos!AA12-(Datos!U12+Datos!AI12))/(Datos!U12+Datos!AI12))," - ")</f>
        <v>0.19534412955465588</v>
      </c>
      <c r="E12" s="455">
        <f>IF(ISNUMBER(
   IF(J_V="SI",(Datos!L12-Datos!V12)/Datos!V12,(Datos!L12+Datos!AB12-(Datos!V12+Datos!AJ12))/(Datos!V12+Datos!AJ12))
     ),IF(J_V="SI",(Datos!L12-Datos!V12)/Datos!V12,(Datos!L12+Datos!AB12-(Datos!V12+Datos!AJ12))/(Datos!V12+Datos!AJ12))," - ")</f>
        <v>7.3735955056179775E-2</v>
      </c>
      <c r="F12" s="455">
        <f>IF(ISNUMBER((Datos!M12-Datos!W12)/Datos!W12),(Datos!M12-Datos!W12)/Datos!W12," - ")</f>
        <v>0.30733944954128439</v>
      </c>
      <c r="G12" s="456">
        <f>IF(ISNUMBER((Datos!N12-Datos!X12)/Datos!X12),(Datos!N12-Datos!X12)/Datos!X12," - ")</f>
        <v>4.3399638336347197E-2</v>
      </c>
      <c r="H12" s="454">
        <f>IF(ISNUMBER(((NºAsuntos!G12/NºAsuntos!E12)-Datos!BD12)/Datos!BD12),((NºAsuntos!G12/NºAsuntos!E12)-Datos!BD12)/Datos!BD12," - ")</f>
        <v>0.4684480121968792</v>
      </c>
      <c r="I12" s="455">
        <f>IF(ISNUMBER(((NºAsuntos!I12/NºAsuntos!G12)-Datos!BE12)/Datos!BE12),((NºAsuntos!I12/NºAsuntos!G12)-Datos!BE12)/Datos!BE12," - ")</f>
        <v>-0.10173486571083351</v>
      </c>
      <c r="J12" s="460">
        <f>IF(ISNUMBER((('Resol  Asuntos'!D12/NºAsuntos!G12)-Datos!BF12)/Datos!BF12),(('Resol  Asuntos'!D12/NºAsuntos!G12)-Datos!BF12)/Datos!BF12," - ")</f>
        <v>-0.56885160306418847</v>
      </c>
      <c r="K12" s="461">
        <f>IF(ISNUMBER((((NºAsuntos!C12+NºAsuntos!E12)/NºAsuntos!G12)-Datos!BG12)/Datos!BG12),(((NºAsuntos!C12+NºAsuntos!E12)/NºAsuntos!G12)-Datos!BG12)/Datos!BG12," - ")</f>
        <v>-7.5049790700170468E-2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0.21852387843704776</v>
      </c>
      <c r="C13" s="854">
        <f>IF(ISNUMBER(
   IF(J_V="SI",(Datos!J13-Datos!T13)/Datos!T13,(Datos!J13+Datos!Z13-(Datos!T13+Datos!AH13))/(Datos!T13+Datos!AH13))
     ),IF(J_V="SI",(Datos!J13-Datos!T13)/Datos!T13,(Datos!J13+Datos!Z13-(Datos!T13+Datos!AH13))/(Datos!T13+Datos!AH13))," - ")</f>
        <v>-0.18598130841121496</v>
      </c>
      <c r="D13" s="854">
        <f>IF(ISNUMBER(
   IF(J_V="SI",(Datos!K13-Datos!U13)/Datos!U13,(Datos!K13+Datos!AA13-(Datos!U13+Datos!AI13))/(Datos!U13+Datos!AI13))
     ),IF(J_V="SI",(Datos!K13-Datos!U13)/Datos!U13,(Datos!K13+Datos!AA13-(Datos!U13+Datos!AI13))/(Datos!U13+Datos!AI13))," - ")</f>
        <v>0.19534412955465588</v>
      </c>
      <c r="E13" s="854">
        <f>IF(ISNUMBER(
   IF(J_V="SI",(Datos!L13-Datos!V13)/Datos!V13,(Datos!L13+Datos!AB13-(Datos!V13+Datos!AJ13))/(Datos!V13+Datos!AJ13))
     ),IF(J_V="SI",(Datos!L13-Datos!V13)/Datos!V13,(Datos!L13+Datos!AB13-(Datos!V13+Datos!AJ13))/(Datos!V13+Datos!AJ13))," - ")</f>
        <v>7.3735955056179775E-2</v>
      </c>
      <c r="F13" s="855">
        <f>IF(ISNUMBER((Datos!M13-Datos!W13)/Datos!W13),(Datos!M13-Datos!W13)/Datos!W13," - ")</f>
        <v>0.30733944954128439</v>
      </c>
      <c r="G13" s="856">
        <f>IF(ISNUMBER((Datos!N13-Datos!X13)/Datos!X13),(Datos!N13-Datos!X13)/Datos!X13," - ")</f>
        <v>4.3399638336347197E-2</v>
      </c>
      <c r="H13" s="856">
        <f>IF(ISNUMBER(((NºAsuntos!G13/NºAsuntos!E13)-Datos!BD13)/Datos!BD13),((NºAsuntos!G13/NºAsuntos!E13)-Datos!BD13)/Datos!BD13," - ")</f>
        <v>0.4684480121968792</v>
      </c>
      <c r="I13" s="856">
        <f>IF(ISNUMBER(((NºAsuntos!I13/NºAsuntos!G13)-Datos!BE13)/Datos!BE13),((NºAsuntos!I13/NºAsuntos!G13)-Datos!BE13)/Datos!BE13," - ")</f>
        <v>-0.10173486571083351</v>
      </c>
      <c r="J13" s="856">
        <f>IF(ISNUMBER((('Resol  Asuntos'!D13/NºAsuntos!G13)-Datos!BF13)/Datos!BF13),(('Resol  Asuntos'!D13/NºAsuntos!G13)-Datos!BF13)/Datos!BF13," - ")</f>
        <v>-0.56885160306418847</v>
      </c>
      <c r="K13" s="856">
        <f>IF(ISNUMBER((((NºAsuntos!C13+NºAsuntos!E13)/NºAsuntos!G13)-Datos!BG13)/Datos!BG13),(((NºAsuntos!C13+NºAsuntos!E13)/NºAsuntos!G13)-Datos!BG13)/Datos!BG13," - ")</f>
        <v>-7.5049790700170468E-2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0.4096185737976783</v>
      </c>
      <c r="C16" s="455">
        <f>IF(ISNUMBER(
   IF(D_I="SI",(Datos!J16-Datos!T16)/Datos!T16,(Datos!J16+Datos!AD16-(Datos!T16+Datos!AL16))/(Datos!T16+Datos!AL16))
     ),IF(D_I="SI",(Datos!J16-Datos!T16)/Datos!T16,(Datos!J16+Datos!AD16-(Datos!T16+Datos!AL16))/(Datos!T16+Datos!AL16))," - ")</f>
        <v>-4.4414535666218037E-2</v>
      </c>
      <c r="D16" s="455">
        <f>IF(ISNUMBER(
   IF(D_I="SI",(Datos!K16-Datos!U16)/Datos!U16,(Datos!K16+Datos!AE16-(Datos!U16+Datos!AM16))/(Datos!U16+Datos!AM16))
     ),IF(D_I="SI",(Datos!K16-Datos!U16)/Datos!U16,(Datos!K16+Datos!AE16-(Datos!U16+Datos!AM16))/(Datos!U16+Datos!AM16))," - ")</f>
        <v>-0.11159420289855072</v>
      </c>
      <c r="E16" s="455">
        <f>IF(ISNUMBER(
   IF(D_I="SI",(Datos!L16-Datos!V16)/Datos!V16,(Datos!L16+Datos!AF16-(Datos!V16+Datos!AN16))/(Datos!V16+Datos!AN16))
     ),IF(D_I="SI",(Datos!L16-Datos!V16)/Datos!V16,(Datos!L16+Datos!AF16-(Datos!V16+Datos!AN16))/(Datos!V16+Datos!AN16))," - ")</f>
        <v>0.43685464654487688</v>
      </c>
      <c r="F16" s="455">
        <f>IF(ISNUMBER((Datos!M16-Datos!W16)/Datos!W16),(Datos!M16-Datos!W16)/Datos!W16," - ")</f>
        <v>0.1773049645390071</v>
      </c>
      <c r="G16" s="456">
        <f>IF(ISNUMBER((Datos!N16-Datos!X16)/Datos!X16),(Datos!N16-Datos!X16)/Datos!X16," - ")</f>
        <v>-0.1875</v>
      </c>
      <c r="H16" s="454">
        <f>IF(ISNUMBER(((NºAsuntos!G16/NºAsuntos!E16)-Datos!BD16)/Datos!BD16),((NºAsuntos!G16/NºAsuntos!E16)-Datos!BD16)/Datos!BD16," - ")</f>
        <v>-7.0302102469891881E-2</v>
      </c>
      <c r="I16" s="455">
        <f>IF(ISNUMBER(((NºAsuntos!I16/NºAsuntos!G16)-Datos!BE16)/Datos!BE16),((NºAsuntos!I16/NºAsuntos!G16)-Datos!BE16)/Datos!BE16," - ")</f>
        <v>0.61734046674708831</v>
      </c>
      <c r="J16" s="460">
        <f>IF(ISNUMBER((('Resol  Asuntos'!D16/NºAsuntos!G16)-Datos!BF16)/Datos!BF16),(('Resol  Asuntos'!D16/NºAsuntos!G16)-Datos!BF16)/Datos!BF16," - ")</f>
        <v>0.32518829613689221</v>
      </c>
      <c r="K16" s="461">
        <f>IF(ISNUMBER((((NºAsuntos!C16+NºAsuntos!E16)/NºAsuntos!G16)-Datos!BG16)/Datos!BG16),(((NºAsuntos!C16+NºAsuntos!E16)/NºAsuntos!G16)-Datos!BG16)/Datos!BG16," - ")</f>
        <v>0.39185444160513977</v>
      </c>
    </row>
    <row r="17" spans="1:12" ht="21.75" thickBot="1">
      <c r="A17" s="401" t="str">
        <f>Datos!A17</f>
        <v>Jdos. Violencia contra la mujer/Secc Viol. TI.</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0.4096185737976783</v>
      </c>
      <c r="C18" s="854">
        <f>IF(ISNUMBER(
   IF(Criterios!B14="SI",(Datos!J18-Datos!T18)/Datos!T18,(Datos!J18+Datos!AD18-(Datos!T18+Datos!AL18))/(Datos!T18+Datos!AL18))
     ),IF(Criterios!B14="SI",(Datos!J18-Datos!T18)/Datos!T18,(Datos!J18+Datos!AD18-(Datos!T18+Datos!AL18))/(Datos!T18+Datos!AL18))," - ")</f>
        <v>-4.4414535666218037E-2</v>
      </c>
      <c r="D18" s="854">
        <f>IF(ISNUMBER(
   IF(Criterios!B14="SI",(Datos!K18-Datos!U18)/Datos!U18,(Datos!K18+Datos!AE18-(Datos!U18+Datos!AM18))/(Datos!U18+Datos!AM18))
     ),IF(Criterios!B14="SI",(Datos!K18-Datos!U18)/Datos!U18,(Datos!K18+Datos!AE18-(Datos!U18+Datos!AM18))/(Datos!U18+Datos!AM18))," - ")</f>
        <v>-0.11159420289855072</v>
      </c>
      <c r="E18" s="854">
        <f>IF(ISNUMBER(
   IF(Criterios!B14="SI",(Datos!L18-Datos!V18)/Datos!V18,(Datos!L18+Datos!AF18-(Datos!V18+Datos!AN18))/(Datos!V18+Datos!AN18))
     ),IF(Criterios!B14="SI",(Datos!L18-Datos!V18)/Datos!V18,(Datos!L18+Datos!AF18-(Datos!V18+Datos!AN18))/(Datos!V18+Datos!AN18))," - ")</f>
        <v>0.43685464654487688</v>
      </c>
      <c r="F18" s="855">
        <f>IF(ISNUMBER((Datos!M18-Datos!W18)/Datos!W18),(Datos!M18-Datos!W18)/Datos!W18," - ")</f>
        <v>0.1773049645390071</v>
      </c>
      <c r="G18" s="856">
        <f>IF(ISNUMBER((Datos!N18-Datos!X18)/Datos!X18),(Datos!N18-Datos!X18)/Datos!X18," - ")</f>
        <v>-0.1875</v>
      </c>
      <c r="H18" s="856">
        <f>IF(ISNUMBER(((NºAsuntos!G18/NºAsuntos!E18)-Datos!BD18)/Datos!BD18),((NºAsuntos!G18/NºAsuntos!E18)-Datos!BD18)/Datos!BD18," - ")</f>
        <v>-7.0302102469891881E-2</v>
      </c>
      <c r="I18" s="856">
        <f>IF(ISNUMBER(((NºAsuntos!I18/NºAsuntos!G18)-Datos!BE18)/Datos!BE18),((NºAsuntos!I18/NºAsuntos!G18)-Datos!BE18)/Datos!BE18," - ")</f>
        <v>0.61734046674708831</v>
      </c>
      <c r="J18" s="856">
        <f>IF(ISNUMBER((('Resol  Asuntos'!D18/NºAsuntos!G18)-Datos!BF18)/Datos!BF18),(('Resol  Asuntos'!D18/NºAsuntos!G18)-Datos!BF18)/Datos!BF18," - ")</f>
        <v>0.32518829613689221</v>
      </c>
      <c r="K18" s="856">
        <f>IF(ISNUMBER((((NºAsuntos!C18+NºAsuntos!E18)/NºAsuntos!G18)-Datos!BG18)/Datos!BG18),(((NºAsuntos!C18+NºAsuntos!E18)/NºAsuntos!G18)-Datos!BG18)/Datos!BG18," - ")</f>
        <v>0.39185444160513977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0.27657430730478588</v>
      </c>
      <c r="C19" s="801">
        <f>IF(ISNUMBER(
   IF(J_V="SI",(Datos!J19-Datos!T19)/Datos!T19,(Datos!J19+Datos!Z19-(Datos!T19+Datos!AH19))/(Datos!T19+Datos!AH19))
     ),IF(J_V="SI",(Datos!J19-Datos!T19)/Datos!T19,(Datos!J19+Datos!Z19-(Datos!T19+Datos!AH19))/(Datos!T19+Datos!AH19))," - ")</f>
        <v>-0.12796469939327082</v>
      </c>
      <c r="D19" s="801">
        <f>IF(ISNUMBER(
   IF(J_V="SI",(Datos!K19-Datos!U19)/Datos!U19,(Datos!K19+Datos!AA19-(Datos!U19+Datos!AI19))/(Datos!U19+Datos!AI19))
     ),IF(J_V="SI",(Datos!K19-Datos!U19)/Datos!U19,(Datos!K19+Datos!AA19-(Datos!U19+Datos!AI19))/(Datos!U19+Datos!AI19))," - ")</f>
        <v>6.9129916567342076E-2</v>
      </c>
      <c r="E19" s="801">
        <f>IF(ISNUMBER(
   IF(J_V="SI",(Datos!L19-Datos!V19)/Datos!V19,(Datos!L19+Datos!AB19-(Datos!V19+Datos!AJ19))/(Datos!V19+Datos!AJ19))
     ),IF(J_V="SI",(Datos!L19-Datos!V19)/Datos!V19,(Datos!L19+Datos!AB19-(Datos!V19+Datos!AJ19))/(Datos!V19+Datos!AJ19))," - ")</f>
        <v>0.1850499147796445</v>
      </c>
      <c r="F19" s="802">
        <f>IF(ISNUMBER((Datos!M19-Datos!W19)/Datos!W19),(Datos!M19-Datos!W19)/Datos!W19," - ")</f>
        <v>0.25626740947075211</v>
      </c>
      <c r="G19" s="803">
        <f>IF(ISNUMBER((Datos!N19-Datos!X19)/Datos!X19),(Datos!N19-Datos!X19)/Datos!X19," - ")</f>
        <v>-5.1227321237993596E-2</v>
      </c>
      <c r="H19" s="804">
        <f>IF(ISNUMBER((Tasas!B19-Datos!BD19)/Datos!BD19),(Tasas!B19-Datos!BD19)/Datos!BD19," - ")</f>
        <v>0.22601678604464978</v>
      </c>
      <c r="I19" s="805">
        <f>IF(ISNUMBER((Tasas!C19-Datos!BE19)/Datos!BE19),(Tasas!C19-Datos!BE19)/Datos!BE19," - ")</f>
        <v>0.10842461371251019</v>
      </c>
      <c r="J19" s="806">
        <f>IF(ISNUMBER((Tasas!D19-Datos!BF19)/Datos!BF19),(Tasas!D19-Datos!BF19)/Datos!BF19," - ")</f>
        <v>-0.39216376072659753</v>
      </c>
      <c r="K19" s="806">
        <f>IF(ISNUMBER((Tasas!E19-Datos!BG19)/Datos!BG19),(Tasas!E19-Datos!BG19)/Datos!BG19," - ")</f>
        <v>7.5406503242213568E-2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JepWgb1vTXOZkzNKXFIkyAyodHzsy3A6U+mrNE5iGEQwLkLVWfqDnI/Fju0Wi5vg4Bh4p1oVvSovmXb+7gP6A==" saltValue="H77uQc2pu3DTNHbvWG95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CARLET</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1.3559127439724454</v>
      </c>
      <c r="C12" s="442">
        <f>IF(ISNUMBER(NºAsuntos!I12/NºAsuntos!G12),NºAsuntos!I12/NºAsuntos!G12," - ")</f>
        <v>2.5893310753598646</v>
      </c>
      <c r="D12" s="443">
        <f>IF(ISNUMBER('Resol  Asuntos'!D12/NºAsuntos!G12),'Resol  Asuntos'!D12/NºAsuntos!G12," - ")</f>
        <v>0.24132091447925486</v>
      </c>
      <c r="E12" s="444">
        <f>IF(ISNUMBER((NºAsuntos!C12+NºAsuntos!E12)/NºAsuntos!G12),(NºAsuntos!C12+NºAsuntos!E12)/NºAsuntos!G12," - ")</f>
        <v>3.5893310753598646</v>
      </c>
      <c r="G12" s="462"/>
    </row>
    <row r="13" spans="1:7" ht="14.25" thickTop="1" thickBot="1">
      <c r="A13" s="847" t="str">
        <f>Datos!A13</f>
        <v>TOTAL</v>
      </c>
      <c r="B13" s="857">
        <f>IF(ISNUMBER(NºAsuntos!G13/NºAsuntos!E13),NºAsuntos!G13/NºAsuntos!E13," - ")</f>
        <v>1.3559127439724454</v>
      </c>
      <c r="C13" s="858">
        <f>IF(ISNUMBER(NºAsuntos!I13/NºAsuntos!G13),NºAsuntos!I13/NºAsuntos!G13," - ")</f>
        <v>2.5893310753598646</v>
      </c>
      <c r="D13" s="859">
        <f>IF(ISNUMBER('Resol  Asuntos'!D13/NºAsuntos!G13),'Resol  Asuntos'!D13/NºAsuntos!G13," - ")</f>
        <v>0.24132091447925486</v>
      </c>
      <c r="E13" s="860">
        <f>IF(ISNUMBER((NºAsuntos!C13+NºAsuntos!E13)/NºAsuntos!G13),(NºAsuntos!C13+NºAsuntos!E13)/NºAsuntos!G13," - ")</f>
        <v>3.5893310753598646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0.86338028169014081</v>
      </c>
      <c r="C16" s="442">
        <f>IF(ISNUMBER(NºAsuntos!I16/NºAsuntos!G16),NºAsuntos!I16/NºAsuntos!G16," - ")</f>
        <v>2.9510603588907016</v>
      </c>
      <c r="D16" s="443">
        <f>IF(ISNUMBER('Resol  Asuntos'!D16/NºAsuntos!G16),'Resol  Asuntos'!D16/NºAsuntos!G16," - ")</f>
        <v>0.2707993474714519</v>
      </c>
      <c r="E16" s="444">
        <f>IF(ISNUMBER((NºAsuntos!C16+NºAsuntos!E16)/NºAsuntos!G16),(NºAsuntos!C16+NºAsuntos!E16)/NºAsuntos!G16," - ")</f>
        <v>3.931484502446982</v>
      </c>
      <c r="G16" s="462"/>
    </row>
    <row r="17" spans="1:7" ht="21.75" thickBot="1">
      <c r="A17" s="401" t="str">
        <f>Datos!A17</f>
        <v>Jdos. Violencia contra la mujer/Secc Viol. TI.</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0.86338028169014081</v>
      </c>
      <c r="C18" s="858">
        <f>IF(ISNUMBER(NºAsuntos!I18/NºAsuntos!G18),NºAsuntos!I18/NºAsuntos!G18," - ")</f>
        <v>2.9510603588907016</v>
      </c>
      <c r="D18" s="861">
        <f>IF(ISNUMBER('Resol  Asuntos'!D18/NºAsuntos!G18),'Resol  Asuntos'!D18/NºAsuntos!G18," - ")</f>
        <v>0.2707993474714519</v>
      </c>
      <c r="E18" s="860">
        <f>IF(ISNUMBER((NºAsuntos!C18+NºAsuntos!E18)/NºAsuntos!G18),(NºAsuntos!C18+NºAsuntos!E18)/NºAsuntos!G18," - ")</f>
        <v>3.931484502446982</v>
      </c>
      <c r="G18" s="462"/>
    </row>
    <row r="19" spans="1:7" ht="15.75" customHeight="1" thickTop="1" thickBot="1">
      <c r="A19" s="792" t="str">
        <f>Datos!A19</f>
        <v>TOTAL JURISDICCIONES</v>
      </c>
      <c r="B19" s="807">
        <f>IF(ISNUMBER(NºAsuntos!G19/NºAsuntos!E19),NºAsuntos!G19/NºAsuntos!E19," - ")</f>
        <v>1.1347248576850095</v>
      </c>
      <c r="C19" s="808">
        <f>IF(ISNUMBER(NºAsuntos!I19/NºAsuntos!G19),NºAsuntos!I19/NºAsuntos!G19," - ")</f>
        <v>2.712931995540691</v>
      </c>
      <c r="D19" s="809">
        <f>IF(ISNUMBER('Resol  Asuntos'!D19/NºAsuntos!G19),'Resol  Asuntos'!D19/NºAsuntos!G19," - ")</f>
        <v>0.25139353400222963</v>
      </c>
      <c r="E19" s="810">
        <f>IF(ISNUMBER((NºAsuntos!C19+NºAsuntos!E19)/NºAsuntos!G19),(NºAsuntos!C19+NºAsuntos!E19)/NºAsuntos!G19," - ")</f>
        <v>3.7062430323299886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uXSVWCZLKxak+LQ8fyoZiLO2bg8x/OCwt8KJj8EC3CwOQphkeR53jaMYF0LaiA1OPhEiu493Yut6wTWPJXOCw==" saltValue="xAuZAJ3ft8G7oaKj1Hqp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CARLET</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0</v>
      </c>
      <c r="B10" s="274" t="s">
        <v>246</v>
      </c>
      <c r="C10" s="7" t="str">
        <f>Datos!A10</f>
        <v>Jdos. Violencia contra la mujer/Secc Viol. TI.</v>
      </c>
      <c r="D10" s="7"/>
      <c r="E10" s="1024">
        <f>IF(ISNUMBER(Datos!AQ10),Datos!AQ10," - ")</f>
        <v>0</v>
      </c>
      <c r="F10" s="224" t="str">
        <f>IF(ISNUMBER(Datos!L10+Datos!K10-Datos!J10-K10),Datos!L10+Datos!K10-Datos!J10-K10," - ")</f>
        <v xml:space="preserve"> - </v>
      </c>
      <c r="G10" s="332" t="str">
        <f>IF(ISNUMBER(Datos!I10),Datos!I10," - ")</f>
        <v xml:space="preserve"> - </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t="str">
        <f>IF(ISNUMBER(Datos!K10),Datos!K10," - ")</f>
        <v xml:space="preserve"> - </v>
      </c>
      <c r="X10" s="225" t="str">
        <f>IF(ISNUMBER(Datos!Q10),Datos!Q10," - ")</f>
        <v xml:space="preserve"> - </v>
      </c>
      <c r="Y10" s="333">
        <f t="shared" ref="Y10:Y12" si="0">SUM(W10:X10)</f>
        <v>0</v>
      </c>
      <c r="Z10" s="334" t="str">
        <f>IF(ISNUMBER(Datos!CC10),Datos!CC10," - ")</f>
        <v xml:space="preserve"> - </v>
      </c>
      <c r="AA10" s="331" t="str">
        <f>IF(ISNUMBER(Datos!L10),Datos!L10,"-")</f>
        <v>-</v>
      </c>
      <c r="AB10" s="333" t="str">
        <f>IF(ISNUMBER(Datos!R10),Datos!R10," - ")</f>
        <v xml:space="preserve"> - </v>
      </c>
      <c r="AC10" s="333" t="str">
        <f t="shared" ref="AC10:AC12" si="1">IF(ISNUMBER(AA10+AB10),AA10+AB10," - ")</f>
        <v xml:space="preserve"> - </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t="str">
        <f>IF(ISNUMBER(Datos!M10),Datos!M10," - ")</f>
        <v xml:space="preserve"> - </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295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302</v>
      </c>
      <c r="Y12" s="333">
        <f t="shared" si="0"/>
        <v>302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4734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285</v>
      </c>
      <c r="AJ12" s="228" t="str">
        <f>IF(ISNUMBER(Datos!BW12),Datos!BW12," - ")</f>
        <v xml:space="preserve"> - </v>
      </c>
      <c r="AK12" s="227" t="str">
        <f>IF(ISNUMBER(Datos!BX12),Datos!BX12," - ")</f>
        <v xml:space="preserve"> - </v>
      </c>
      <c r="AL12" s="242">
        <f>IF(ISNUMBER(NºAsuntos!G12/NºAsuntos!E12),NºAsuntos!G12/NºAsuntos!E12," - ")</f>
        <v>1.3559127439724454</v>
      </c>
      <c r="AM12" s="259">
        <f>IF(ISNUMBER(((NºAsuntos!I12/NºAsuntos!G12)*11)/factor_trimestre),((NºAsuntos!I12/NºAsuntos!G12)*11)/factor_trimestre," - ")</f>
        <v>7.7679932260795939</v>
      </c>
      <c r="AN12" s="243">
        <f>IF(ISNUMBER('Resol  Asuntos'!D12/NºAsuntos!G12),'Resol  Asuntos'!D12/NºAsuntos!G12," - ")</f>
        <v>0.24132091447925486</v>
      </c>
      <c r="AO12" s="244">
        <f>IF(ISNUMBER((NºAsuntos!C12+NºAsuntos!E12)/NºAsuntos!G12),(NºAsuntos!C12+NºAsuntos!E12)/NºAsuntos!G12," - ")</f>
        <v>3.5893310753598646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0</v>
      </c>
      <c r="G13" s="865">
        <f t="shared" si="3"/>
        <v>0</v>
      </c>
      <c r="H13" s="864">
        <f t="shared" si="3"/>
        <v>0</v>
      </c>
      <c r="I13" s="866">
        <f t="shared" si="3"/>
        <v>0</v>
      </c>
      <c r="J13" s="866">
        <f t="shared" si="3"/>
        <v>0</v>
      </c>
      <c r="K13" s="866">
        <f t="shared" si="3"/>
        <v>0</v>
      </c>
      <c r="L13" s="866">
        <f t="shared" si="3"/>
        <v>295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302</v>
      </c>
      <c r="Y13" s="867">
        <f t="shared" si="4"/>
        <v>302</v>
      </c>
      <c r="Z13" s="867">
        <f t="shared" si="4"/>
        <v>0</v>
      </c>
      <c r="AA13" s="867">
        <f t="shared" si="4"/>
        <v>0</v>
      </c>
      <c r="AB13" s="867">
        <f t="shared" si="4"/>
        <v>4734</v>
      </c>
      <c r="AC13" s="867">
        <f t="shared" si="4"/>
        <v>0</v>
      </c>
      <c r="AD13" s="867">
        <f t="shared" si="4"/>
        <v>0</v>
      </c>
      <c r="AE13" s="871">
        <f t="shared" si="4"/>
        <v>0</v>
      </c>
      <c r="AF13" s="864">
        <f t="shared" si="4"/>
        <v>0</v>
      </c>
      <c r="AG13" s="872">
        <f t="shared" si="4"/>
        <v>0</v>
      </c>
      <c r="AH13" s="869">
        <f t="shared" si="4"/>
        <v>0</v>
      </c>
      <c r="AI13" s="864">
        <f t="shared" si="4"/>
        <v>285</v>
      </c>
      <c r="AJ13" s="866">
        <f t="shared" si="4"/>
        <v>0</v>
      </c>
      <c r="AK13" s="869">
        <f>SUBTOTAL(9,AK9:AK12)</f>
        <v>0</v>
      </c>
      <c r="AL13" s="873">
        <f>IF(ISNUMBER(NºAsuntos!G13/NºAsuntos!E13),NºAsuntos!G13/NºAsuntos!E13," - ")</f>
        <v>1.3559127439724454</v>
      </c>
      <c r="AM13" s="873">
        <f>IF(ISNUMBER(((NºAsuntos!I13/NºAsuntos!G13)*11)/factor_trimestre),((NºAsuntos!I13/NºAsuntos!G13)*11)/factor_trimestre," - ")</f>
        <v>7.7679932260795939</v>
      </c>
      <c r="AN13" s="874">
        <f>IF(ISNUMBER('Resol  Asuntos'!D13/NºAsuntos!G13),'Resol  Asuntos'!D13/NºAsuntos!G13," - ")</f>
        <v>0.24132091447925486</v>
      </c>
      <c r="AO13" s="875">
        <f>IF(ISNUMBER((NºAsuntos!C13+NºAsuntos!E13)/NºAsuntos!G13),(NºAsuntos!C13+NºAsuntos!E13)/NºAsuntos!G13," - ")</f>
        <v>3.5893310753598646</v>
      </c>
      <c r="AP13" s="876" t="str">
        <f t="shared" si="2"/>
        <v xml:space="preserve"> - </v>
      </c>
      <c r="AQ13" s="876" t="str">
        <f>IF(ISNUMBER((H13-W13+K13)/(F13)),(H13-W13+K13)/(F13)," - ")</f>
        <v xml:space="preserve"> - </v>
      </c>
      <c r="AR13" s="877">
        <f>IF(ISNUMBER((Datos!P13-Datos!Q13)/(Datos!R13-Datos!P13+Datos!Q13)),(Datos!P13-Datos!Q13)/(Datos!R13-Datos!P13+Datos!Q13)," - ")</f>
        <v>-1.4764817549040286E-3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1712</v>
      </c>
      <c r="G16" s="332">
        <f>IF(ISNUMBER(IF(D_I="SI",Datos!I16,Datos!I16+Datos!AC16)),IF(D_I="SI",Datos!I16,Datos!I16+Datos!AC16)," - ")</f>
        <v>1700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613</v>
      </c>
      <c r="X16" s="225">
        <f>IF(ISNUMBER(Datos!Q16),Datos!Q16," - ")</f>
        <v>10</v>
      </c>
      <c r="Y16" s="333">
        <f t="shared" ref="Y16:Y17" si="7">SUM(W16:X16)</f>
        <v>623</v>
      </c>
      <c r="Z16" s="334" t="str">
        <f>IF(ISNUMBER(Datos!CC16),Datos!CC16," - ")</f>
        <v xml:space="preserve"> - </v>
      </c>
      <c r="AA16" s="331">
        <f>IF(ISNUMBER(IF(D_I="SI",Datos!L16,Datos!L16+Datos!AF16)),IF(D_I="SI",Datos!L16,Datos!L16+Datos!AF16)," - ")</f>
        <v>1809</v>
      </c>
      <c r="AB16" s="333">
        <f>IF(ISNUMBER(Datos!R16),Datos!R16," - ")</f>
        <v>310</v>
      </c>
      <c r="AC16" s="333">
        <f t="shared" si="6"/>
        <v>2119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166</v>
      </c>
      <c r="AJ16" s="230" t="str">
        <f>IF(ISNUMBER(Datos!BW16),Datos!BW16," - ")</f>
        <v xml:space="preserve"> - </v>
      </c>
      <c r="AK16" s="231" t="str">
        <f>IF(ISNUMBER(Datos!BX16),Datos!BX16," - ")</f>
        <v xml:space="preserve"> - </v>
      </c>
      <c r="AL16" s="242">
        <f>IF(ISNUMBER(NºAsuntos!G16/NºAsuntos!E16),NºAsuntos!G16/NºAsuntos!E16," - ")</f>
        <v>0.86338028169014081</v>
      </c>
      <c r="AM16" s="259">
        <f>IF(ISNUMBER(((NºAsuntos!I16/NºAsuntos!G16)*11)/factor_trimestre),((NºAsuntos!I16/NºAsuntos!G16)*11)/factor_trimestre," - ")</f>
        <v>8.8531810766721044</v>
      </c>
      <c r="AN16" s="243">
        <f>IF(ISNUMBER('Resol  Asuntos'!D16/NºAsuntos!G16),'Resol  Asuntos'!D16/NºAsuntos!G16," - ")</f>
        <v>0.2707993474714519</v>
      </c>
      <c r="AO16" s="244">
        <f>IF(ISNUMBER((NºAsuntos!C16+NºAsuntos!E16)/NºAsuntos!G16),(NºAsuntos!C16+NºAsuntos!E16)/NºAsuntos!G16," - ")</f>
        <v>3.931484502446982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0</v>
      </c>
      <c r="B17" s="274" t="s">
        <v>396</v>
      </c>
      <c r="C17" s="7" t="str">
        <f>Datos!A17</f>
        <v>Jdos. Violencia contra la mujer/Secc Viol. TI.</v>
      </c>
      <c r="D17" s="7"/>
      <c r="E17" s="1024">
        <f>IF(ISNUMBER(Datos!AQ17),Datos!AQ17," - ")</f>
        <v>0</v>
      </c>
      <c r="F17" s="224" t="str">
        <f>IF(ISNUMBER(AA17+W17-H17-K17),AA17+W17-H17-K17,"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si="7"/>
        <v>0</v>
      </c>
      <c r="Z17" s="334" t="str">
        <f>IF(ISNUMBER(Datos!CC17),Datos!CC17," - ")</f>
        <v xml:space="preserve"> - </v>
      </c>
      <c r="AA17" s="331" t="str">
        <f>IF(ISNUMBER(Datos!L17),Datos!L17,"-")</f>
        <v>-</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1712</v>
      </c>
      <c r="G18" s="865">
        <f>SUBTOTAL(9,G15:G17)</f>
        <v>1700</v>
      </c>
      <c r="H18" s="864">
        <f t="shared" ref="H18:O18" si="10">SUBTOTAL(9,H14:H17)</f>
        <v>0</v>
      </c>
      <c r="I18" s="866">
        <f t="shared" si="10"/>
        <v>0</v>
      </c>
      <c r="J18" s="866">
        <f t="shared" si="10"/>
        <v>0</v>
      </c>
      <c r="K18" s="866">
        <f t="shared" si="10"/>
        <v>0</v>
      </c>
      <c r="L18" s="866">
        <f t="shared" si="10"/>
        <v>22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613</v>
      </c>
      <c r="X18" s="866">
        <f t="shared" si="11"/>
        <v>10</v>
      </c>
      <c r="Y18" s="867">
        <f t="shared" si="11"/>
        <v>623</v>
      </c>
      <c r="Z18" s="867">
        <f t="shared" si="11"/>
        <v>0</v>
      </c>
      <c r="AA18" s="867">
        <f t="shared" si="11"/>
        <v>1809</v>
      </c>
      <c r="AB18" s="867">
        <f t="shared" si="11"/>
        <v>310</v>
      </c>
      <c r="AC18" s="867">
        <f t="shared" si="11"/>
        <v>2119</v>
      </c>
      <c r="AD18" s="867">
        <f t="shared" si="11"/>
        <v>0</v>
      </c>
      <c r="AE18" s="871">
        <f t="shared" si="11"/>
        <v>0</v>
      </c>
      <c r="AF18" s="864">
        <f t="shared" si="11"/>
        <v>0</v>
      </c>
      <c r="AG18" s="872">
        <f t="shared" si="11"/>
        <v>0</v>
      </c>
      <c r="AH18" s="869">
        <f t="shared" si="11"/>
        <v>0</v>
      </c>
      <c r="AI18" s="864">
        <f t="shared" si="11"/>
        <v>166</v>
      </c>
      <c r="AJ18" s="866">
        <f t="shared" si="11"/>
        <v>0</v>
      </c>
      <c r="AK18" s="869">
        <f t="shared" si="11"/>
        <v>0</v>
      </c>
      <c r="AL18" s="873">
        <f>IF(ISNUMBER(NºAsuntos!G18/NºAsuntos!E18),NºAsuntos!G18/NºAsuntos!E18," - ")</f>
        <v>0.86338028169014081</v>
      </c>
      <c r="AM18" s="873">
        <f>IF(ISNUMBER(((NºAsuntos!I18/NºAsuntos!G18)*11)/factor_trimestre),((NºAsuntos!I18/NºAsuntos!G18)*11)/factor_trimestre," - ")</f>
        <v>8.8531810766721044</v>
      </c>
      <c r="AN18" s="874">
        <f>IF(ISNUMBER('Resol  Asuntos'!D18/NºAsuntos!G18),'Resol  Asuntos'!D18/NºAsuntos!G18," - ")</f>
        <v>0.2707993474714519</v>
      </c>
      <c r="AO18" s="875">
        <f>IF(ISNUMBER((NºAsuntos!C18+NºAsuntos!E18)/NºAsuntos!G18),(NºAsuntos!C18+NºAsuntos!E18)/NºAsuntos!G18," - ")</f>
        <v>3.931484502446982</v>
      </c>
      <c r="AP18" s="876" t="str">
        <f t="shared" si="2"/>
        <v xml:space="preserve"> - </v>
      </c>
      <c r="AQ18" s="876">
        <f>IF(ISNUMBER((H18-W18+K18)/(F18)),(H18-W18+K18)/(F18)," - ")</f>
        <v>-0.35806074766355139</v>
      </c>
      <c r="AR18" s="877">
        <f>IF(ISNUMBER((Datos!P18-Datos!Q18)/(Datos!R18-Datos!P18+Datos!Q18)),(Datos!P18-Datos!Q18)/(Datos!R18-Datos!P18+Datos!Q18)," - ")</f>
        <v>4.0268456375838924E-2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1712</v>
      </c>
      <c r="G19" s="820">
        <f t="shared" si="13"/>
        <v>1700</v>
      </c>
      <c r="H19" s="819">
        <f t="shared" si="13"/>
        <v>0</v>
      </c>
      <c r="I19" s="821">
        <f t="shared" si="13"/>
        <v>0</v>
      </c>
      <c r="J19" s="821">
        <f t="shared" si="13"/>
        <v>0</v>
      </c>
      <c r="K19" s="880">
        <f t="shared" si="13"/>
        <v>0</v>
      </c>
      <c r="L19" s="821">
        <f t="shared" si="13"/>
        <v>317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613</v>
      </c>
      <c r="X19" s="820">
        <f t="shared" si="14"/>
        <v>312</v>
      </c>
      <c r="Y19" s="827">
        <f t="shared" si="14"/>
        <v>925</v>
      </c>
      <c r="Z19" s="827">
        <f t="shared" si="14"/>
        <v>0</v>
      </c>
      <c r="AA19" s="827">
        <f t="shared" si="14"/>
        <v>1809</v>
      </c>
      <c r="AB19" s="827">
        <f t="shared" si="14"/>
        <v>5044</v>
      </c>
      <c r="AC19" s="827">
        <f t="shared" si="14"/>
        <v>2119</v>
      </c>
      <c r="AD19" s="827">
        <f t="shared" si="14"/>
        <v>0</v>
      </c>
      <c r="AE19" s="829">
        <f t="shared" si="14"/>
        <v>0</v>
      </c>
      <c r="AF19" s="830">
        <f t="shared" si="14"/>
        <v>0</v>
      </c>
      <c r="AG19" s="831">
        <f t="shared" si="14"/>
        <v>0</v>
      </c>
      <c r="AH19" s="829">
        <f t="shared" si="14"/>
        <v>0</v>
      </c>
      <c r="AI19" s="819">
        <f t="shared" si="14"/>
        <v>451</v>
      </c>
      <c r="AJ19" s="819">
        <f t="shared" si="14"/>
        <v>0</v>
      </c>
      <c r="AK19" s="829">
        <f t="shared" si="14"/>
        <v>0</v>
      </c>
      <c r="AL19" s="883">
        <f>IF(ISNUMBER(NºAsuntos!G19/NºAsuntos!E19),NºAsuntos!G19/NºAsuntos!E19," - ")</f>
        <v>1.1347248576850095</v>
      </c>
      <c r="AM19" s="884">
        <f>IF(ISNUMBER(((NºAsuntos!I19/NºAsuntos!G19)*11)/factor_trimestre),((NºAsuntos!I19/NºAsuntos!G19)*11)/factor_trimestre," - ")</f>
        <v>8.1387959866220729</v>
      </c>
      <c r="AN19" s="884">
        <f>IF(ISNUMBER('Resol  Asuntos'!D19/NºAsuntos!G19),'Resol  Asuntos'!D19/NºAsuntos!G19," - ")</f>
        <v>0.25139353400222963</v>
      </c>
      <c r="AO19" s="885">
        <f>IF(ISNUMBER((NºAsuntos!C19+NºAsuntos!E19)/NºAsuntos!G19),(NºAsuntos!C19+NºAsuntos!E19)/NºAsuntos!G19," - ")</f>
        <v>3.7062430323299886</v>
      </c>
      <c r="AP19" s="886" t="str">
        <f t="shared" si="2"/>
        <v xml:space="preserve"> - </v>
      </c>
      <c r="AQ19" s="887">
        <f>IF(OR(ISNUMBER(FIND("01",Criterios!A8,1)),ISNUMBER(FIND("02",Criterios!A8,1)),ISNUMBER(FIND("03",Criterios!A8,1)),ISNUMBER(FIND("04",Criterios!A8,1))),(I19-W19+K19)/(F19-K19),(H19-W19+K19)/(F19-K19))</f>
        <v>-0.35806074766355139</v>
      </c>
      <c r="AR19" s="888">
        <f>IF(ISNUMBER((Datos!P19-Datos!Q19)/(Datos!R19-Datos!P19+Datos!Q19)),(Datos!P19-Datos!Q19)/(Datos!R19-Datos!P19+Datos!Q19)," - ")</f>
        <v>9.9226036912085738E-4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1133.3333333333333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988.42366085263927</v>
      </c>
      <c r="G21" s="252">
        <f>IF(ISNUMBER(STDEV(G8:G18)),STDEV(G8:G18),"-")</f>
        <v>981.4954576223638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353.91571501324063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68.704682033565462</v>
      </c>
      <c r="AJ21" s="251">
        <f t="shared" si="18"/>
        <v>0</v>
      </c>
      <c r="AK21" s="253">
        <f t="shared" si="18"/>
        <v>0</v>
      </c>
      <c r="AL21" s="248">
        <f t="shared" si="18"/>
        <v>0.28436374968331746</v>
      </c>
      <c r="AM21" s="249">
        <f t="shared" si="18"/>
        <v>0.62653349766089739</v>
      </c>
      <c r="AN21" s="249">
        <f t="shared" si="18"/>
        <v>1.701938122333331E-2</v>
      </c>
      <c r="AO21" s="250">
        <f t="shared" si="18"/>
        <v>0.19754237323290019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Q1qSDJTCxx4T4wY9LLC4pwxGMvogDXIB0wYVGW18AkqW/8VSRSYsisGZC4h6wLOhXjGvAbI+qWwav32OE5pi9g==" saltValue="mKEmICHVAHtNqgBozHcY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CARLET</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0.30733944954128439</v>
      </c>
      <c r="I12" s="349">
        <f>IF(ISNUMBER((Tasas!C12-Datos!BE12)/Datos!BE12),(Tasas!C12-Datos!BE12)/Datos!BE12," - ")</f>
        <v>-0.10173486571083351</v>
      </c>
      <c r="J12" s="348">
        <f>IF(ISNUMBER((Tasas!D12-Datos!BF12)/Datos!BF12),(Tasas!D12-Datos!BF12)/Datos!BF12," - ")</f>
        <v>-0.56885160306418847</v>
      </c>
      <c r="K12" s="350">
        <f>IF(ISNUMBER((Tasas!E12-Datos!BG12)/Datos!BG12),(Tasas!E12-Datos!BG12)/Datos!BG12," - ")</f>
        <v>-7.5049790700170468E-2</v>
      </c>
      <c r="M12" t="e">
        <f>IF(Monitorios="SI",Datos!CE12,0)</f>
        <v>#REF!</v>
      </c>
      <c r="N12" t="e">
        <f>IF(Monitorios="SI",Datos!CF12,0)</f>
        <v>#REF!</v>
      </c>
      <c r="O12" t="e">
        <f>IF(Monitorios="SI",Datos!CG12,0)</f>
        <v>#REF!</v>
      </c>
      <c r="P12" t="e">
        <f>IF(Monitorios="SI",Datos!CH12,0)</f>
        <v>#REF!</v>
      </c>
      <c r="Q12">
        <f>IF(J_V="SI",0,Datos!AG12)</f>
        <v>111</v>
      </c>
      <c r="R12">
        <f>IF(J_V="SI",0,Datos!AH12)</f>
        <v>60</v>
      </c>
      <c r="S12">
        <f>IF(J_V="SI",0,Datos!AI12)</f>
        <v>49</v>
      </c>
      <c r="T12">
        <f>IF(J_V="SI",0,Datos!AJ12)</f>
        <v>122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0.30733944954128439</v>
      </c>
      <c r="I13" s="356">
        <f>IF(ISNUMBER((Tasas!C13-Datos!BE13)/Datos!BE13),(Tasas!C13-Datos!BE13)/Datos!BE13," - ")</f>
        <v>-0.10173486571083351</v>
      </c>
      <c r="J13" s="354">
        <f>IF(ISNUMBER((Tasas!D13-Datos!BF13)/Datos!BF13),(Tasas!D13-Datos!BF13)/Datos!BF13," - ")</f>
        <v>-0.56885160306418847</v>
      </c>
      <c r="K13" s="357">
        <f>IF(ISNUMBER((Tasas!E13-Datos!BG13)/Datos!BG13),(Tasas!E13-Datos!BG13)/Datos!BG13," - ")</f>
        <v>-7.5049790700170468E-2</v>
      </c>
      <c r="M13" t="e">
        <f>IF(Monitorios="SI",Datos!CE13,0)</f>
        <v>#REF!</v>
      </c>
      <c r="N13" t="e">
        <f>IF(Monitorios="SI",Datos!CF13,0)</f>
        <v>#REF!</v>
      </c>
      <c r="O13" t="e">
        <f>IF(Monitorios="SI",Datos!CG13,0)</f>
        <v>#REF!</v>
      </c>
      <c r="P13" t="e">
        <f>IF(Monitorios="SI",Datos!CH13,0)</f>
        <v>#REF!</v>
      </c>
      <c r="Q13">
        <f>IF(J_V="SI",0,Datos!AG13)</f>
        <v>111</v>
      </c>
      <c r="R13">
        <f>IF(J_V="SI",0,Datos!AH13)</f>
        <v>60</v>
      </c>
      <c r="S13">
        <f>IF(J_V="SI",0,Datos!AI13)</f>
        <v>49</v>
      </c>
      <c r="T13">
        <f>IF(J_V="SI",0,Datos!AJ13)</f>
        <v>122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0.4096185737976783</v>
      </c>
      <c r="E16" s="347">
        <f>IF(ISNUMBER(
   IF(D_I="SI",(Datos!J16-Datos!T16)/Datos!T16,(Datos!J16+Datos!AD16-(Datos!T16+Datos!AL16))/(Datos!T16+Datos!AL16))
     ),IF(D_I="SI",(Datos!J16-Datos!T16)/Datos!T16,(Datos!J16+Datos!AD16-(Datos!T16+Datos!AL16))/(Datos!T16+Datos!AL16))," - ")</f>
        <v>-4.4414535666218037E-2</v>
      </c>
      <c r="F16" s="347">
        <f>IF(ISNUMBER(
   IF(D_I="SI",(Datos!K16-Datos!U16)/Datos!U16,(Datos!K16+Datos!AE16-(Datos!U16+Datos!AM16))/(Datos!U16+Datos!AM16))
     ),IF(D_I="SI",(Datos!K16-Datos!U16)/Datos!U16,(Datos!K16+Datos!AE16-(Datos!U16+Datos!AM16))/(Datos!U16+Datos!AM16))," - ")</f>
        <v>-0.11159420289855072</v>
      </c>
      <c r="G16" s="348">
        <f>IF(ISNUMBER(
   IF(D_I="SI",(Datos!L16-Datos!V16)/Datos!V16,(Datos!L16+Datos!AF16-(Datos!V16+Datos!AN16))/(Datos!V16+Datos!AN16))
     ),IF(D_I="SI",(Datos!L16-Datos!V16)/Datos!V16,(Datos!L16+Datos!AF16-(Datos!V16+Datos!AN16))/(Datos!V16+Datos!AN16))," - ")</f>
        <v>0.43685464654487688</v>
      </c>
      <c r="H16" s="229">
        <f>IF(ISNUMBER((Datos!M16-Datos!W16)/Datos!W16),(Datos!M16-Datos!W16)/Datos!W16," - ")</f>
        <v>0.1773049645390071</v>
      </c>
      <c r="I16" s="349">
        <f>IF(ISNUMBER((Tasas!C16-Datos!BE16)/Datos!BE16),(Tasas!C16-Datos!BE16)/Datos!BE16," - ")</f>
        <v>0.61734046674708831</v>
      </c>
      <c r="J16" s="348">
        <f>IF(ISNUMBER((Tasas!D16-Datos!BF16)/Datos!BF16),(Tasas!D16-Datos!BF16)/Datos!BF16," - ")</f>
        <v>0.32518829613689221</v>
      </c>
      <c r="K16" s="350">
        <f>IF(ISNUMBER((Tasas!E16-Datos!BG16)/Datos!BG16),(Tasas!E16-Datos!BG16)/Datos!BG16," - ")</f>
        <v>0.39185444160513977</v>
      </c>
    </row>
    <row r="17" spans="2:20" ht="15" thickBot="1">
      <c r="B17" s="274" t="s">
        <v>396</v>
      </c>
      <c r="C17" s="7" t="str">
        <f>Datos!A17</f>
        <v>Jdos. Violencia contra la mujer/Secc Viol. TI.</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0.4096185737976783</v>
      </c>
      <c r="E18" s="353">
        <f>IF(ISNUMBER(
   IF(D_I="SI",(Datos!J18-Datos!T18)/Datos!T18,(Datos!J18+Datos!AD18-(Datos!T18+Datos!AL18))/(Datos!T18+Datos!AL18))
     ),IF(D_I="SI",(Datos!J18-Datos!T18)/Datos!T18,(Datos!J18+Datos!AD18-(Datos!T18+Datos!AL18))/(Datos!T18+Datos!AL18))," - ")</f>
        <v>-4.4414535666218037E-2</v>
      </c>
      <c r="F18" s="353">
        <f>IF(ISNUMBER(
   IF(D_I="SI",(Datos!K18-Datos!U18)/Datos!U18,(Datos!K18+Datos!AE18-(Datos!U18+Datos!AM18))/(Datos!U18+Datos!AM18))
     ),IF(D_I="SI",(Datos!K18-Datos!U18)/Datos!U18,(Datos!K18+Datos!AE18-(Datos!U18+Datos!AM18))/(Datos!U18+Datos!AM18))," - ")</f>
        <v>-0.11159420289855072</v>
      </c>
      <c r="G18" s="354">
        <f>IF(ISNUMBER(
   IF(D_I="SI",(Datos!L18-Datos!V18)/Datos!V18,(Datos!L18+Datos!AF18-(Datos!V18+Datos!AN18))/(Datos!V18+Datos!AN18))
     ),IF(D_I="SI",(Datos!L18-Datos!V18)/Datos!V18,(Datos!L18+Datos!AF18-(Datos!V18+Datos!AN18))/(Datos!V18+Datos!AN18))," - ")</f>
        <v>0.43685464654487688</v>
      </c>
      <c r="H18" s="355">
        <f>IF(ISNUMBER((Datos!M18-Datos!W18)/Datos!W18),(Datos!M18-Datos!W18)/Datos!W18," - ")</f>
        <v>0.1773049645390071</v>
      </c>
      <c r="I18" s="356">
        <f>IF(ISNUMBER((Tasas!C18-Datos!BE18)/Datos!BE18),(Tasas!C18-Datos!BE18)/Datos!BE18," - ")</f>
        <v>0.61734046674708831</v>
      </c>
      <c r="J18" s="354">
        <f>IF(ISNUMBER((Tasas!D18-Datos!BF18)/Datos!BF18),(Tasas!D18-Datos!BF18)/Datos!BF18," - ")</f>
        <v>0.32518829613689221</v>
      </c>
      <c r="K18" s="357">
        <f>IF(ISNUMBER((Tasas!E18-Datos!BG18)/Datos!BG18),(Tasas!E18-Datos!BG18)/Datos!BG18," - ")</f>
        <v>0.39185444160513977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0.27657430730478588</v>
      </c>
      <c r="E19" s="362">
        <f>IF(ISNUMBER(
   IF(J_V="SI",(Datos!J19-Datos!T19)/Datos!T19,(Datos!J19+Datos!Z19-(Datos!T19+Datos!AH19))/(Datos!T19+Datos!AH19))
     ),IF(J_V="SI",(Datos!J19-Datos!T19)/Datos!T19,(Datos!J19+Datos!Z19-(Datos!T19+Datos!AH19))/(Datos!T19+Datos!AH19))," - ")</f>
        <v>-0.12796469939327082</v>
      </c>
      <c r="F19" s="362">
        <f>IF(ISNUMBER(
   IF(J_V="SI",(Datos!K19-Datos!U19)/Datos!U19,(Datos!K19+Datos!AA19-(Datos!U19+Datos!AI19))/(Datos!U19+Datos!AI19))
     ),IF(J_V="SI",(Datos!K19-Datos!U19)/Datos!U19,(Datos!K19+Datos!AA19-(Datos!U19+Datos!AI19))/(Datos!U19+Datos!AI19))," - ")</f>
        <v>6.9129916567342076E-2</v>
      </c>
      <c r="G19" s="363">
        <f>IF(ISNUMBER(
   IF(J_V="SI",(Datos!L19-Datos!V19)/Datos!V19,(Datos!L19+Datos!AB19-(Datos!V19+Datos!AJ19))/(Datos!V19+Datos!AJ19))
     ),IF(J_V="SI",(Datos!L19-Datos!V19)/Datos!V19,(Datos!L19+Datos!AB19-(Datos!V19+Datos!AJ19))/(Datos!V19+Datos!AJ19))," - ")</f>
        <v>0.1850499147796445</v>
      </c>
      <c r="H19" s="364">
        <f>IF(ISNUMBER((Datos!M19-Datos!W19)/Datos!W19),(Datos!M19-Datos!W19)/Datos!W19," - ")</f>
        <v>0.25626740947075211</v>
      </c>
      <c r="I19" s="361">
        <f>IF(ISNUMBER((Tasas!C19-Datos!BE19)/Datos!BE19),(Tasas!C19-Datos!BE19)/Datos!BE19," - ")</f>
        <v>0.10842461371251019</v>
      </c>
      <c r="J19" s="362">
        <f>IF(ISNUMBER((Tasas!D19-Datos!BF19)/Datos!BF19),(Tasas!D19-Datos!BF19)/Datos!BF19," - ")</f>
        <v>-0.39216376072659753</v>
      </c>
      <c r="K19" s="363">
        <f>IF(ISNUMBER((Tasas!E19-Datos!BG19)/Datos!BG19),(Tasas!E19-Datos!BG19)/Datos!BG19," - ")</f>
        <v>7.5406503242213568E-2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v>
      </c>
      <c r="E21" s="277">
        <f t="shared" si="1"/>
        <v>0</v>
      </c>
      <c r="F21" s="277">
        <f t="shared" si="1"/>
        <v>0</v>
      </c>
      <c r="G21" s="278">
        <f t="shared" si="1"/>
        <v>0</v>
      </c>
      <c r="H21" s="284">
        <f t="shared" si="1"/>
        <v>7.5075444919999026E-2</v>
      </c>
      <c r="I21" s="276">
        <f t="shared" si="1"/>
        <v>0.41515833676220076</v>
      </c>
      <c r="J21" s="277">
        <f t="shared" si="1"/>
        <v>0.51617417647000974</v>
      </c>
      <c r="K21" s="278">
        <f t="shared" si="1"/>
        <v>0.26956728420724646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PxGYF00dMf1lw5S3U953Y44rRbeo7TThTH1vXybkAJ2O2QDDkJvN4HviuMtefHWsgTY95e9bKVXOLpY9qkSXkg==" saltValue="t64Lk6Li/d3Wz3IFQIkFW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